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artigan\Desktop\"/>
    </mc:Choice>
  </mc:AlternateContent>
  <xr:revisionPtr revIDLastSave="0" documentId="13_ncr:1_{F019BD27-DAD9-4224-9E6B-78C9C54F25A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Overall Expense Summary" sheetId="6" r:id="rId1"/>
    <sheet name="Account Summary" sheetId="3" r:id="rId2"/>
    <sheet name="Electric Expense" sheetId="1" r:id="rId3"/>
    <sheet name="Electric Usage" sheetId="2" r:id="rId4"/>
    <sheet name="Natural Gas Expense" sheetId="5" r:id="rId5"/>
    <sheet name="Natural Gas Usage" sheetId="4" r:id="rId6"/>
    <sheet name="Water Expense" sheetId="8" r:id="rId7"/>
    <sheet name="Water Usage" sheetId="7" r:id="rId8"/>
    <sheet name="Sewer Trash Expense" sheetId="9" r:id="rId9"/>
    <sheet name="Sheet1" sheetId="10" r:id="rId10"/>
  </sheets>
  <definedNames>
    <definedName name="_xlnm.Print_Area" localSheetId="1">'Account Summary'!$A$1:$E$57</definedName>
    <definedName name="_xlnm.Print_Area" localSheetId="0">'Overall Expense Summary'!$A$1:$R$21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2" i="7" l="1"/>
  <c r="Q54" i="7"/>
  <c r="H48" i="7"/>
  <c r="I48" i="7"/>
  <c r="I12" i="7"/>
  <c r="I39" i="7"/>
  <c r="I21" i="7"/>
  <c r="I30" i="7"/>
  <c r="H12" i="7"/>
  <c r="H39" i="7"/>
  <c r="H21" i="7"/>
  <c r="H30" i="7"/>
  <c r="G48" i="7"/>
  <c r="G12" i="7"/>
  <c r="G39" i="7"/>
  <c r="G75" i="7"/>
  <c r="G21" i="7"/>
  <c r="G30" i="7"/>
  <c r="I20" i="9"/>
  <c r="K18" i="9"/>
  <c r="K17" i="9"/>
  <c r="K16" i="9"/>
  <c r="K15" i="9"/>
  <c r="K14" i="9"/>
  <c r="K13" i="9"/>
  <c r="K12" i="9"/>
  <c r="K11" i="9"/>
  <c r="K10" i="9"/>
  <c r="K9" i="9"/>
  <c r="K8" i="9"/>
  <c r="K7" i="9"/>
  <c r="H137" i="5"/>
  <c r="H11" i="5"/>
  <c r="H83" i="5"/>
  <c r="H119" i="5"/>
  <c r="H29" i="5"/>
  <c r="H65" i="5"/>
  <c r="H47" i="5"/>
  <c r="H101" i="5"/>
  <c r="H10" i="5"/>
  <c r="E101" i="5"/>
  <c r="Q34" i="4"/>
  <c r="Q8" i="4"/>
  <c r="Q70" i="4"/>
  <c r="Q52" i="4"/>
  <c r="Q25" i="4"/>
  <c r="Q61" i="4"/>
  <c r="Q43" i="4"/>
  <c r="Q17" i="4"/>
  <c r="H64" i="5"/>
  <c r="H136" i="5"/>
  <c r="H100" i="5"/>
  <c r="H46" i="5"/>
  <c r="H118" i="5"/>
  <c r="H82" i="5"/>
  <c r="H28" i="5"/>
  <c r="F67" i="1"/>
  <c r="Q35" i="2"/>
  <c r="Q17" i="2"/>
  <c r="Q61" i="2"/>
  <c r="Q8" i="2"/>
  <c r="Q53" i="2"/>
  <c r="F66" i="1"/>
  <c r="F65" i="1"/>
  <c r="F119" i="1"/>
  <c r="Q44" i="2"/>
  <c r="Q26" i="2"/>
  <c r="C25" i="9" l="1"/>
  <c r="F12" i="7"/>
  <c r="F21" i="7"/>
  <c r="F30" i="7"/>
  <c r="E12" i="7"/>
  <c r="E39" i="7"/>
  <c r="E21" i="7"/>
  <c r="E66" i="7"/>
  <c r="E64" i="7"/>
  <c r="E30" i="7"/>
  <c r="D48" i="7"/>
  <c r="D12" i="7"/>
  <c r="D39" i="7"/>
  <c r="D21" i="7"/>
  <c r="D66" i="7"/>
  <c r="D30" i="7"/>
  <c r="C12" i="7"/>
  <c r="C48" i="7"/>
  <c r="C21" i="7"/>
  <c r="C39" i="7"/>
  <c r="C30" i="7"/>
  <c r="C66" i="7"/>
  <c r="H9" i="5"/>
  <c r="H135" i="5"/>
  <c r="H81" i="5"/>
  <c r="H117" i="5"/>
  <c r="H45" i="5"/>
  <c r="H27" i="5"/>
  <c r="H63" i="5"/>
  <c r="H99" i="5"/>
  <c r="H8" i="5"/>
  <c r="H80" i="5"/>
  <c r="H116" i="5"/>
  <c r="H26" i="5"/>
  <c r="H62" i="5"/>
  <c r="H44" i="5"/>
  <c r="H98" i="5"/>
  <c r="H7" i="5"/>
  <c r="H61" i="5" l="1"/>
  <c r="H97" i="5"/>
  <c r="H43" i="5"/>
  <c r="H115" i="5"/>
  <c r="H79" i="5"/>
  <c r="H25" i="5"/>
  <c r="F64" i="1" l="1"/>
  <c r="F118" i="1"/>
  <c r="F63" i="1"/>
  <c r="F117" i="1"/>
  <c r="F62" i="1"/>
  <c r="F116" i="1"/>
  <c r="F22" i="6" l="1"/>
  <c r="F61" i="1"/>
  <c r="N46" i="7" l="1"/>
  <c r="N37" i="7"/>
  <c r="N19" i="7"/>
  <c r="N64" i="7"/>
  <c r="N28" i="7"/>
  <c r="N10" i="7"/>
  <c r="F115" i="1"/>
  <c r="F97" i="1"/>
  <c r="N75" i="7" l="1"/>
  <c r="M75" i="7"/>
  <c r="L75" i="7"/>
  <c r="K75" i="7"/>
  <c r="J75" i="7"/>
  <c r="I75" i="7"/>
  <c r="H75" i="7"/>
  <c r="F75" i="7"/>
  <c r="E75" i="7"/>
  <c r="D75" i="7"/>
  <c r="C75" i="7"/>
  <c r="J73" i="7"/>
  <c r="F72" i="7"/>
  <c r="N66" i="7"/>
  <c r="M66" i="7"/>
  <c r="L66" i="7"/>
  <c r="K66" i="7"/>
  <c r="J66" i="7"/>
  <c r="I66" i="7"/>
  <c r="H66" i="7"/>
  <c r="G66" i="7"/>
  <c r="F66" i="7"/>
  <c r="M64" i="7"/>
  <c r="L64" i="7"/>
  <c r="J64" i="7"/>
  <c r="I64" i="7"/>
  <c r="H64" i="7"/>
  <c r="G64" i="7"/>
  <c r="F64" i="7"/>
  <c r="D64" i="7"/>
  <c r="C64" i="7"/>
  <c r="N63" i="7"/>
  <c r="M63" i="7"/>
  <c r="L63" i="7"/>
  <c r="K63" i="7"/>
  <c r="J63" i="7"/>
  <c r="I63" i="7"/>
  <c r="H63" i="7"/>
  <c r="G63" i="7"/>
  <c r="F63" i="7"/>
  <c r="E63" i="7"/>
  <c r="D63" i="7"/>
  <c r="C63" i="7"/>
  <c r="N62" i="7"/>
  <c r="M62" i="7"/>
  <c r="L62" i="7"/>
  <c r="K62" i="7"/>
  <c r="J62" i="7"/>
  <c r="I62" i="7"/>
  <c r="H62" i="7"/>
  <c r="G62" i="7"/>
  <c r="F62" i="7"/>
  <c r="E62" i="7"/>
  <c r="D62" i="7"/>
  <c r="C62" i="7"/>
  <c r="N53" i="7"/>
  <c r="M53" i="7"/>
  <c r="L53" i="7"/>
  <c r="K53" i="7"/>
  <c r="J53" i="7"/>
  <c r="I53" i="7"/>
  <c r="H53" i="7"/>
  <c r="G53" i="7"/>
  <c r="F53" i="7"/>
  <c r="E53" i="7"/>
  <c r="D53" i="7"/>
  <c r="C53" i="7"/>
  <c r="N48" i="7"/>
  <c r="M48" i="7"/>
  <c r="L48" i="7"/>
  <c r="K48" i="7"/>
  <c r="J48" i="7"/>
  <c r="F48" i="7"/>
  <c r="E48" i="7"/>
  <c r="M46" i="7"/>
  <c r="L46" i="7"/>
  <c r="K46" i="7"/>
  <c r="J46" i="7"/>
  <c r="I46" i="7"/>
  <c r="H46" i="7"/>
  <c r="G46" i="7"/>
  <c r="F46" i="7"/>
  <c r="E46" i="7"/>
  <c r="D46" i="7"/>
  <c r="C46" i="7"/>
  <c r="Q45" i="7" s="1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39" i="7"/>
  <c r="M39" i="7"/>
  <c r="L39" i="7"/>
  <c r="K39" i="7"/>
  <c r="J39" i="7"/>
  <c r="F39" i="7"/>
  <c r="M37" i="7"/>
  <c r="L37" i="7"/>
  <c r="K37" i="7"/>
  <c r="J37" i="7"/>
  <c r="I37" i="7"/>
  <c r="H37" i="7"/>
  <c r="G37" i="7"/>
  <c r="F37" i="7"/>
  <c r="E37" i="7"/>
  <c r="D37" i="7"/>
  <c r="C37" i="7"/>
  <c r="N36" i="7"/>
  <c r="M36" i="7"/>
  <c r="L36" i="7"/>
  <c r="K36" i="7"/>
  <c r="J36" i="7"/>
  <c r="I36" i="7"/>
  <c r="H36" i="7"/>
  <c r="G36" i="7"/>
  <c r="F36" i="7"/>
  <c r="E36" i="7"/>
  <c r="D36" i="7"/>
  <c r="C36" i="7"/>
  <c r="N35" i="7"/>
  <c r="M35" i="7"/>
  <c r="L35" i="7"/>
  <c r="K35" i="7"/>
  <c r="J35" i="7"/>
  <c r="I35" i="7"/>
  <c r="H35" i="7"/>
  <c r="G35" i="7"/>
  <c r="F35" i="7"/>
  <c r="E35" i="7"/>
  <c r="D35" i="7"/>
  <c r="C35" i="7"/>
  <c r="N30" i="7"/>
  <c r="M30" i="7"/>
  <c r="L30" i="7"/>
  <c r="K30" i="7"/>
  <c r="J30" i="7"/>
  <c r="M28" i="7"/>
  <c r="K28" i="7"/>
  <c r="J28" i="7"/>
  <c r="I28" i="7"/>
  <c r="H28" i="7"/>
  <c r="G28" i="7"/>
  <c r="F28" i="7"/>
  <c r="E28" i="7"/>
  <c r="D28" i="7"/>
  <c r="C28" i="7"/>
  <c r="N27" i="7"/>
  <c r="M27" i="7"/>
  <c r="L27" i="7"/>
  <c r="K27" i="7"/>
  <c r="J27" i="7"/>
  <c r="I27" i="7"/>
  <c r="H27" i="7"/>
  <c r="G27" i="7"/>
  <c r="F27" i="7"/>
  <c r="E27" i="7"/>
  <c r="D27" i="7"/>
  <c r="C27" i="7"/>
  <c r="N26" i="7"/>
  <c r="M26" i="7"/>
  <c r="L26" i="7"/>
  <c r="K26" i="7"/>
  <c r="J26" i="7"/>
  <c r="I26" i="7"/>
  <c r="H26" i="7"/>
  <c r="G26" i="7"/>
  <c r="F26" i="7"/>
  <c r="E26" i="7"/>
  <c r="D26" i="7"/>
  <c r="C26" i="7"/>
  <c r="N21" i="7"/>
  <c r="M21" i="7"/>
  <c r="L21" i="7"/>
  <c r="K21" i="7"/>
  <c r="J21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2" i="7"/>
  <c r="M12" i="7"/>
  <c r="L12" i="7"/>
  <c r="K12" i="7"/>
  <c r="J12" i="7"/>
  <c r="M10" i="7"/>
  <c r="L10" i="7"/>
  <c r="K10" i="7"/>
  <c r="J10" i="7"/>
  <c r="I10" i="7"/>
  <c r="H10" i="7"/>
  <c r="G10" i="7"/>
  <c r="F10" i="7"/>
  <c r="E10" i="7"/>
  <c r="D10" i="7"/>
  <c r="C10" i="7"/>
  <c r="N9" i="7"/>
  <c r="M9" i="7"/>
  <c r="L9" i="7"/>
  <c r="K9" i="7"/>
  <c r="J9" i="7"/>
  <c r="I9" i="7"/>
  <c r="H9" i="7"/>
  <c r="G9" i="7"/>
  <c r="F9" i="7"/>
  <c r="E9" i="7"/>
  <c r="D9" i="7"/>
  <c r="C9" i="7"/>
  <c r="N8" i="7"/>
  <c r="M8" i="7"/>
  <c r="L8" i="7"/>
  <c r="K8" i="7"/>
  <c r="J8" i="7"/>
  <c r="I8" i="7"/>
  <c r="H8" i="7"/>
  <c r="G8" i="7"/>
  <c r="F8" i="7"/>
  <c r="E8" i="7"/>
  <c r="D8" i="7"/>
  <c r="C8" i="7"/>
  <c r="K8" i="4"/>
  <c r="N114" i="2"/>
  <c r="M114" i="2"/>
  <c r="L114" i="2"/>
  <c r="I114" i="2"/>
  <c r="G114" i="2"/>
  <c r="D114" i="2"/>
  <c r="C114" i="2"/>
  <c r="O112" i="2"/>
  <c r="O111" i="2"/>
  <c r="O110" i="2"/>
  <c r="E109" i="2"/>
  <c r="O109" i="2" s="1"/>
  <c r="J108" i="2"/>
  <c r="J114" i="2" s="1"/>
  <c r="F108" i="2"/>
  <c r="O108" i="2" s="1"/>
  <c r="O107" i="2"/>
  <c r="O106" i="2"/>
  <c r="K105" i="2"/>
  <c r="H105" i="2"/>
  <c r="H114" i="2" s="1"/>
  <c r="E105" i="2"/>
  <c r="O105" i="2" s="1"/>
  <c r="K104" i="2"/>
  <c r="O104" i="2" s="1"/>
  <c r="O103" i="2"/>
  <c r="M99" i="2"/>
  <c r="L99" i="2"/>
  <c r="K99" i="2"/>
  <c r="J99" i="2"/>
  <c r="I99" i="2"/>
  <c r="H99" i="2"/>
  <c r="G99" i="2"/>
  <c r="F99" i="2"/>
  <c r="E99" i="2"/>
  <c r="D99" i="2"/>
  <c r="C99" i="2"/>
  <c r="O97" i="2"/>
  <c r="O96" i="2"/>
  <c r="O95" i="2"/>
  <c r="O94" i="2"/>
  <c r="N93" i="2"/>
  <c r="N99" i="2" s="1"/>
  <c r="O92" i="2"/>
  <c r="O91" i="2"/>
  <c r="O90" i="2"/>
  <c r="O89" i="2"/>
  <c r="O88" i="2"/>
  <c r="N84" i="2"/>
  <c r="M84" i="2"/>
  <c r="L84" i="2"/>
  <c r="K84" i="2"/>
  <c r="I84" i="2"/>
  <c r="H84" i="2"/>
  <c r="G84" i="2"/>
  <c r="F84" i="2"/>
  <c r="E84" i="2"/>
  <c r="D84" i="2"/>
  <c r="C84" i="2"/>
  <c r="O82" i="2"/>
  <c r="O81" i="2"/>
  <c r="O80" i="2"/>
  <c r="O79" i="2"/>
  <c r="J78" i="2"/>
  <c r="J84" i="2" s="1"/>
  <c r="O77" i="2"/>
  <c r="O76" i="2"/>
  <c r="O75" i="2"/>
  <c r="O74" i="2"/>
  <c r="O73" i="2"/>
  <c r="O26" i="2"/>
  <c r="O25" i="2"/>
  <c r="O78" i="2" l="1"/>
  <c r="O84" i="2" s="1"/>
  <c r="E114" i="2"/>
  <c r="O93" i="2"/>
  <c r="O99" i="2" s="1"/>
  <c r="F114" i="2"/>
  <c r="Q36" i="7"/>
  <c r="Q18" i="7"/>
  <c r="Q9" i="7"/>
  <c r="Q27" i="7"/>
  <c r="Q63" i="7"/>
  <c r="O114" i="2"/>
  <c r="K114" i="2"/>
  <c r="F28" i="5" l="1"/>
  <c r="D126" i="1" l="1"/>
  <c r="L126" i="1" s="1"/>
  <c r="D125" i="1"/>
  <c r="J125" i="1" s="1"/>
  <c r="D124" i="1"/>
  <c r="L124" i="1" s="1"/>
  <c r="D123" i="1"/>
  <c r="L123" i="1" s="1"/>
  <c r="D122" i="1"/>
  <c r="L122" i="1" s="1"/>
  <c r="D121" i="1"/>
  <c r="L121" i="1" s="1"/>
  <c r="D120" i="1"/>
  <c r="D119" i="1"/>
  <c r="L119" i="1" s="1"/>
  <c r="D118" i="1"/>
  <c r="L118" i="1" s="1"/>
  <c r="D117" i="1"/>
  <c r="L117" i="1" s="1"/>
  <c r="D116" i="1"/>
  <c r="L116" i="1" s="1"/>
  <c r="D115" i="1"/>
  <c r="L115" i="1" s="1"/>
  <c r="I128" i="1"/>
  <c r="F128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O65" i="2"/>
  <c r="O63" i="2"/>
  <c r="O62" i="2"/>
  <c r="O61" i="2"/>
  <c r="K115" i="1" l="1"/>
  <c r="L125" i="1"/>
  <c r="K125" i="1"/>
  <c r="K120" i="1"/>
  <c r="L120" i="1"/>
  <c r="J120" i="1"/>
  <c r="K126" i="1"/>
  <c r="K124" i="1"/>
  <c r="J124" i="1"/>
  <c r="K123" i="1"/>
  <c r="K122" i="1"/>
  <c r="J122" i="1"/>
  <c r="K121" i="1"/>
  <c r="K119" i="1"/>
  <c r="K118" i="1"/>
  <c r="J118" i="1"/>
  <c r="J117" i="1"/>
  <c r="K117" i="1"/>
  <c r="K116" i="1"/>
  <c r="D128" i="1"/>
  <c r="L128" i="1" s="1"/>
  <c r="J115" i="1"/>
  <c r="J123" i="1"/>
  <c r="J116" i="1"/>
  <c r="J121" i="1"/>
  <c r="J126" i="1"/>
  <c r="J119" i="1"/>
  <c r="G128" i="1"/>
  <c r="J128" i="1" l="1"/>
  <c r="K128" i="1"/>
  <c r="M129" i="2" l="1"/>
  <c r="L129" i="2"/>
  <c r="K129" i="2"/>
  <c r="J129" i="2"/>
  <c r="I129" i="2"/>
  <c r="H129" i="2"/>
  <c r="G129" i="2"/>
  <c r="F129" i="2"/>
  <c r="E129" i="2"/>
  <c r="D129" i="2"/>
  <c r="C129" i="2"/>
  <c r="O127" i="2"/>
  <c r="O126" i="2"/>
  <c r="O125" i="2"/>
  <c r="O124" i="2"/>
  <c r="O123" i="2"/>
  <c r="O122" i="2"/>
  <c r="O121" i="2"/>
  <c r="O120" i="2"/>
  <c r="O119" i="2"/>
  <c r="O118" i="2"/>
  <c r="O17" i="2"/>
  <c r="O16" i="2"/>
  <c r="N129" i="2" l="1"/>
  <c r="O129" i="2"/>
  <c r="F29" i="5" l="1"/>
  <c r="C144" i="8" l="1"/>
  <c r="C143" i="8"/>
  <c r="C142" i="8"/>
  <c r="C141" i="8"/>
  <c r="C140" i="8"/>
  <c r="C139" i="8"/>
  <c r="C138" i="8"/>
  <c r="C137" i="8"/>
  <c r="C136" i="8"/>
  <c r="C135" i="8"/>
  <c r="C134" i="8"/>
  <c r="C133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0" i="8"/>
  <c r="C89" i="8"/>
  <c r="C88" i="8"/>
  <c r="C87" i="8"/>
  <c r="C86" i="8"/>
  <c r="C85" i="8"/>
  <c r="C84" i="8"/>
  <c r="C83" i="8"/>
  <c r="C82" i="8"/>
  <c r="C81" i="8"/>
  <c r="C80" i="8"/>
  <c r="C79" i="8"/>
  <c r="C72" i="8"/>
  <c r="C71" i="8"/>
  <c r="C70" i="8"/>
  <c r="C69" i="8"/>
  <c r="C68" i="8"/>
  <c r="C67" i="8"/>
  <c r="C66" i="8"/>
  <c r="C65" i="8"/>
  <c r="C64" i="8"/>
  <c r="C63" i="8"/>
  <c r="C62" i="8"/>
  <c r="C61" i="8"/>
  <c r="C54" i="8"/>
  <c r="C53" i="8"/>
  <c r="C52" i="8"/>
  <c r="C51" i="8"/>
  <c r="C50" i="8"/>
  <c r="C49" i="8"/>
  <c r="C48" i="8"/>
  <c r="C47" i="8"/>
  <c r="C46" i="8"/>
  <c r="C45" i="8"/>
  <c r="C44" i="8"/>
  <c r="C43" i="8"/>
  <c r="C36" i="8"/>
  <c r="C35" i="8"/>
  <c r="C34" i="8"/>
  <c r="C33" i="8"/>
  <c r="C32" i="8"/>
  <c r="C31" i="8"/>
  <c r="C30" i="8"/>
  <c r="C29" i="8"/>
  <c r="C28" i="8"/>
  <c r="C27" i="8"/>
  <c r="C26" i="8"/>
  <c r="C25" i="8"/>
  <c r="C18" i="8"/>
  <c r="C17" i="8"/>
  <c r="C16" i="8"/>
  <c r="C15" i="8"/>
  <c r="C14" i="8"/>
  <c r="C13" i="8"/>
  <c r="C12" i="8"/>
  <c r="C11" i="8"/>
  <c r="C10" i="8"/>
  <c r="C9" i="8"/>
  <c r="C8" i="8"/>
  <c r="C7" i="8"/>
  <c r="O73" i="7"/>
  <c r="O75" i="7"/>
  <c r="O62" i="7"/>
  <c r="O53" i="7"/>
  <c r="O44" i="7"/>
  <c r="O35" i="7"/>
  <c r="O26" i="7"/>
  <c r="O63" i="7" l="1"/>
  <c r="O46" i="7"/>
  <c r="O37" i="7"/>
  <c r="O36" i="7"/>
  <c r="O64" i="7"/>
  <c r="O27" i="7"/>
  <c r="O45" i="7"/>
  <c r="O54" i="7"/>
  <c r="O55" i="7"/>
  <c r="O17" i="7"/>
  <c r="O28" i="7"/>
  <c r="O18" i="7"/>
  <c r="O19" i="7"/>
  <c r="O8" i="7"/>
  <c r="O9" i="7"/>
  <c r="O10" i="7"/>
  <c r="C144" i="5"/>
  <c r="C143" i="5"/>
  <c r="C142" i="5"/>
  <c r="C141" i="5"/>
  <c r="C140" i="5"/>
  <c r="C139" i="5"/>
  <c r="C138" i="5"/>
  <c r="C137" i="5"/>
  <c r="C136" i="5"/>
  <c r="C135" i="5"/>
  <c r="C134" i="5"/>
  <c r="C133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0" i="5"/>
  <c r="C89" i="5"/>
  <c r="C88" i="5"/>
  <c r="C87" i="5"/>
  <c r="C86" i="5"/>
  <c r="C85" i="5"/>
  <c r="C84" i="5"/>
  <c r="C83" i="5"/>
  <c r="C82" i="5"/>
  <c r="C81" i="5"/>
  <c r="C80" i="5"/>
  <c r="C79" i="5"/>
  <c r="C72" i="5"/>
  <c r="C71" i="5"/>
  <c r="C70" i="5"/>
  <c r="C69" i="5"/>
  <c r="C68" i="5"/>
  <c r="C67" i="5"/>
  <c r="C66" i="5"/>
  <c r="C65" i="5"/>
  <c r="C64" i="5"/>
  <c r="C63" i="5"/>
  <c r="C62" i="5"/>
  <c r="C61" i="5"/>
  <c r="C54" i="5"/>
  <c r="C53" i="5"/>
  <c r="C52" i="5"/>
  <c r="C51" i="5"/>
  <c r="C50" i="5"/>
  <c r="C49" i="5"/>
  <c r="C48" i="5"/>
  <c r="C47" i="5"/>
  <c r="C46" i="5"/>
  <c r="C45" i="5"/>
  <c r="C44" i="5"/>
  <c r="C43" i="5"/>
  <c r="C36" i="5"/>
  <c r="C35" i="5"/>
  <c r="C34" i="5"/>
  <c r="C33" i="5"/>
  <c r="C32" i="5"/>
  <c r="C31" i="5"/>
  <c r="C30" i="5"/>
  <c r="C29" i="5"/>
  <c r="C28" i="5"/>
  <c r="C27" i="5"/>
  <c r="C26" i="5"/>
  <c r="C25" i="5"/>
  <c r="C18" i="5"/>
  <c r="C17" i="5"/>
  <c r="C16" i="5"/>
  <c r="C15" i="5"/>
  <c r="C14" i="5"/>
  <c r="C13" i="5"/>
  <c r="C12" i="5"/>
  <c r="C11" i="5"/>
  <c r="C10" i="5"/>
  <c r="C9" i="5"/>
  <c r="C8" i="5"/>
  <c r="C7" i="5"/>
  <c r="O71" i="4"/>
  <c r="O70" i="4"/>
  <c r="O69" i="4"/>
  <c r="O62" i="4"/>
  <c r="O61" i="4"/>
  <c r="O60" i="4"/>
  <c r="O53" i="4"/>
  <c r="O52" i="4"/>
  <c r="O51" i="4"/>
  <c r="O44" i="4"/>
  <c r="O43" i="4"/>
  <c r="O42" i="4"/>
  <c r="O35" i="4"/>
  <c r="O34" i="4"/>
  <c r="O33" i="4"/>
  <c r="O26" i="4"/>
  <c r="O25" i="4"/>
  <c r="O24" i="4"/>
  <c r="O18" i="4"/>
  <c r="O17" i="4"/>
  <c r="O16" i="4"/>
  <c r="O9" i="4"/>
  <c r="O8" i="4"/>
  <c r="C154" i="5" s="1"/>
  <c r="O7" i="4"/>
  <c r="C153" i="5" s="1"/>
  <c r="D108" i="1"/>
  <c r="D107" i="1"/>
  <c r="D106" i="1"/>
  <c r="D105" i="1"/>
  <c r="D104" i="1"/>
  <c r="D103" i="1"/>
  <c r="D102" i="1"/>
  <c r="D101" i="1"/>
  <c r="D100" i="1"/>
  <c r="D99" i="1"/>
  <c r="D98" i="1"/>
  <c r="D97" i="1"/>
  <c r="D90" i="1"/>
  <c r="D89" i="1"/>
  <c r="D88" i="1"/>
  <c r="D87" i="1"/>
  <c r="D86" i="1"/>
  <c r="D85" i="1"/>
  <c r="D84" i="1"/>
  <c r="D83" i="1"/>
  <c r="D82" i="1"/>
  <c r="D81" i="1"/>
  <c r="D80" i="1"/>
  <c r="D79" i="1"/>
  <c r="D72" i="1"/>
  <c r="D71" i="1"/>
  <c r="D70" i="1"/>
  <c r="D69" i="1"/>
  <c r="D68" i="1"/>
  <c r="D67" i="1"/>
  <c r="D66" i="1"/>
  <c r="D65" i="1"/>
  <c r="D64" i="1"/>
  <c r="D63" i="1"/>
  <c r="D62" i="1"/>
  <c r="D61" i="1"/>
  <c r="D54" i="1"/>
  <c r="D53" i="1"/>
  <c r="D52" i="1"/>
  <c r="D51" i="1"/>
  <c r="D50" i="1"/>
  <c r="D49" i="1"/>
  <c r="D48" i="1"/>
  <c r="D47" i="1"/>
  <c r="D46" i="1"/>
  <c r="D45" i="1"/>
  <c r="D44" i="1"/>
  <c r="D43" i="1"/>
  <c r="D36" i="1"/>
  <c r="D35" i="1"/>
  <c r="D34" i="1"/>
  <c r="D33" i="1"/>
  <c r="D32" i="1"/>
  <c r="D31" i="1"/>
  <c r="D30" i="1"/>
  <c r="D29" i="1"/>
  <c r="D28" i="1"/>
  <c r="D27" i="1"/>
  <c r="D26" i="1"/>
  <c r="D25" i="1"/>
  <c r="D18" i="1"/>
  <c r="D17" i="1"/>
  <c r="D16" i="1"/>
  <c r="D15" i="1"/>
  <c r="D14" i="1"/>
  <c r="D13" i="1"/>
  <c r="D12" i="1"/>
  <c r="D11" i="1"/>
  <c r="D10" i="1"/>
  <c r="D9" i="1"/>
  <c r="D8" i="1"/>
  <c r="D7" i="1"/>
  <c r="O56" i="2"/>
  <c r="O54" i="2"/>
  <c r="O53" i="2"/>
  <c r="O52" i="2"/>
  <c r="O45" i="2"/>
  <c r="O44" i="2"/>
  <c r="O43" i="2"/>
  <c r="O36" i="2"/>
  <c r="O35" i="2"/>
  <c r="O34" i="2"/>
  <c r="O27" i="2"/>
  <c r="O18" i="2"/>
  <c r="C153" i="8" l="1"/>
  <c r="C155" i="5"/>
  <c r="O9" i="2"/>
  <c r="D135" i="1" s="1"/>
  <c r="D139" i="1" s="1"/>
  <c r="O8" i="2"/>
  <c r="D134" i="1" s="1"/>
  <c r="O7" i="2"/>
  <c r="D133" i="1" s="1"/>
  <c r="F14" i="5" l="1"/>
  <c r="F82" i="5" l="1"/>
  <c r="F53" i="5" l="1"/>
  <c r="G107" i="1"/>
  <c r="F123" i="5" l="1"/>
  <c r="F50" i="5" l="1"/>
  <c r="I11" i="5" l="1"/>
  <c r="F31" i="5" l="1"/>
  <c r="H20" i="9" l="1"/>
  <c r="F27" i="5" l="1"/>
  <c r="F62" i="5" l="1"/>
  <c r="F138" i="8" l="1"/>
  <c r="F141" i="8"/>
  <c r="E146" i="8"/>
  <c r="F143" i="8"/>
  <c r="F139" i="8"/>
  <c r="F136" i="8"/>
  <c r="F134" i="8"/>
  <c r="F144" i="8"/>
  <c r="F142" i="8"/>
  <c r="F140" i="8"/>
  <c r="F137" i="8"/>
  <c r="F135" i="8"/>
  <c r="O71" i="7" l="1"/>
  <c r="C151" i="8" s="1"/>
  <c r="O72" i="7"/>
  <c r="C152" i="8" s="1"/>
  <c r="F133" i="8"/>
  <c r="C146" i="8"/>
  <c r="F146" i="8" s="1"/>
  <c r="C157" i="8" l="1"/>
  <c r="F144" i="5"/>
  <c r="F143" i="5"/>
  <c r="F142" i="5"/>
  <c r="F141" i="5"/>
  <c r="F140" i="5"/>
  <c r="F139" i="5"/>
  <c r="F138" i="5"/>
  <c r="F137" i="5"/>
  <c r="F136" i="5"/>
  <c r="F135" i="5"/>
  <c r="F134" i="5"/>
  <c r="F133" i="5"/>
  <c r="F126" i="5"/>
  <c r="F125" i="5"/>
  <c r="F124" i="5"/>
  <c r="F122" i="5"/>
  <c r="F121" i="5"/>
  <c r="F120" i="5"/>
  <c r="F119" i="5"/>
  <c r="F118" i="5"/>
  <c r="F117" i="5"/>
  <c r="F116" i="5"/>
  <c r="F115" i="5"/>
  <c r="F90" i="5"/>
  <c r="F89" i="5"/>
  <c r="F88" i="5"/>
  <c r="F87" i="5"/>
  <c r="F86" i="5"/>
  <c r="F85" i="5"/>
  <c r="F84" i="5"/>
  <c r="F83" i="5"/>
  <c r="F81" i="5"/>
  <c r="F80" i="5"/>
  <c r="F7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72" i="5"/>
  <c r="F71" i="5"/>
  <c r="F70" i="5"/>
  <c r="F69" i="5"/>
  <c r="F68" i="5"/>
  <c r="F67" i="5"/>
  <c r="F66" i="5"/>
  <c r="F65" i="5"/>
  <c r="F64" i="5"/>
  <c r="F63" i="5"/>
  <c r="F61" i="5"/>
  <c r="F54" i="5"/>
  <c r="F52" i="5"/>
  <c r="F51" i="5"/>
  <c r="F49" i="5"/>
  <c r="F48" i="5"/>
  <c r="F47" i="5"/>
  <c r="F46" i="5"/>
  <c r="F45" i="5"/>
  <c r="F44" i="5"/>
  <c r="F43" i="5"/>
  <c r="F36" i="5"/>
  <c r="F35" i="5"/>
  <c r="F34" i="5"/>
  <c r="F33" i="5"/>
  <c r="F32" i="5"/>
  <c r="F30" i="5"/>
  <c r="F26" i="5"/>
  <c r="F25" i="5"/>
  <c r="F17" i="5"/>
  <c r="F16" i="5"/>
  <c r="F15" i="5"/>
  <c r="F13" i="5"/>
  <c r="F12" i="5"/>
  <c r="F11" i="5"/>
  <c r="F10" i="5"/>
  <c r="F9" i="5"/>
  <c r="F8" i="5"/>
  <c r="F18" i="5"/>
  <c r="I12" i="5"/>
  <c r="G97" i="1"/>
  <c r="G62" i="1"/>
  <c r="G43" i="1"/>
  <c r="G12" i="1" l="1"/>
  <c r="G11" i="1"/>
  <c r="G10" i="1"/>
  <c r="G108" i="1" l="1"/>
  <c r="G106" i="1"/>
  <c r="G105" i="1"/>
  <c r="G104" i="1"/>
  <c r="G103" i="1"/>
  <c r="G102" i="1"/>
  <c r="G101" i="1"/>
  <c r="G100" i="1"/>
  <c r="G99" i="1"/>
  <c r="G98" i="1"/>
  <c r="C37" i="9" l="1"/>
  <c r="L69" i="1"/>
  <c r="I20" i="1" l="1"/>
  <c r="F20" i="1"/>
  <c r="D53" i="3" l="1"/>
  <c r="E20" i="9" l="1"/>
  <c r="G20" i="9"/>
  <c r="F20" i="9"/>
  <c r="D20" i="9"/>
  <c r="F17" i="6"/>
  <c r="L17" i="6" s="1"/>
  <c r="C20" i="9"/>
  <c r="F125" i="8"/>
  <c r="F124" i="8"/>
  <c r="F123" i="8"/>
  <c r="F122" i="8"/>
  <c r="F121" i="8"/>
  <c r="F120" i="8"/>
  <c r="F118" i="8"/>
  <c r="F117" i="8"/>
  <c r="F116" i="8"/>
  <c r="F115" i="8"/>
  <c r="E128" i="8"/>
  <c r="F126" i="8"/>
  <c r="F119" i="8"/>
  <c r="F108" i="8"/>
  <c r="F106" i="8"/>
  <c r="F105" i="8"/>
  <c r="F104" i="8"/>
  <c r="F103" i="8"/>
  <c r="F102" i="8"/>
  <c r="F101" i="8"/>
  <c r="F100" i="8"/>
  <c r="F98" i="8"/>
  <c r="F97" i="8"/>
  <c r="E110" i="8"/>
  <c r="F107" i="8"/>
  <c r="F99" i="8"/>
  <c r="F90" i="8"/>
  <c r="F88" i="8"/>
  <c r="F87" i="8"/>
  <c r="F86" i="8"/>
  <c r="F85" i="8"/>
  <c r="F84" i="8"/>
  <c r="F83" i="8"/>
  <c r="F81" i="8"/>
  <c r="F80" i="8"/>
  <c r="F79" i="8"/>
  <c r="E92" i="8"/>
  <c r="F89" i="8"/>
  <c r="F82" i="8"/>
  <c r="F72" i="8"/>
  <c r="F71" i="8"/>
  <c r="F70" i="8"/>
  <c r="F69" i="8"/>
  <c r="F68" i="8"/>
  <c r="F67" i="8"/>
  <c r="F65" i="8"/>
  <c r="F64" i="8"/>
  <c r="F63" i="8"/>
  <c r="F61" i="8"/>
  <c r="E74" i="8"/>
  <c r="F66" i="8"/>
  <c r="F62" i="8"/>
  <c r="F54" i="8"/>
  <c r="F52" i="8"/>
  <c r="F51" i="8"/>
  <c r="F50" i="8"/>
  <c r="F48" i="8"/>
  <c r="F47" i="8"/>
  <c r="F46" i="8"/>
  <c r="F44" i="8"/>
  <c r="F43" i="8"/>
  <c r="E56" i="8"/>
  <c r="F53" i="8"/>
  <c r="F49" i="8"/>
  <c r="F45" i="8"/>
  <c r="F36" i="8"/>
  <c r="F35" i="8"/>
  <c r="F34" i="8"/>
  <c r="F31" i="8"/>
  <c r="F30" i="8"/>
  <c r="F29" i="8"/>
  <c r="F28" i="8"/>
  <c r="F27" i="8"/>
  <c r="F26" i="8"/>
  <c r="E38" i="8"/>
  <c r="F33" i="8"/>
  <c r="F32" i="8"/>
  <c r="F25" i="8"/>
  <c r="E20" i="8"/>
  <c r="F18" i="8"/>
  <c r="F17" i="8"/>
  <c r="F16" i="8"/>
  <c r="F15" i="8"/>
  <c r="F14" i="8"/>
  <c r="F13" i="8"/>
  <c r="F12" i="8"/>
  <c r="F11" i="8"/>
  <c r="F9" i="8"/>
  <c r="F8" i="8"/>
  <c r="F7" i="8"/>
  <c r="O66" i="7"/>
  <c r="O57" i="7"/>
  <c r="O48" i="7"/>
  <c r="O39" i="7"/>
  <c r="O30" i="7"/>
  <c r="O21" i="7"/>
  <c r="O12" i="7"/>
  <c r="E155" i="8" l="1"/>
  <c r="F13" i="6" s="1"/>
  <c r="K20" i="9"/>
  <c r="F15" i="6" s="1"/>
  <c r="L15" i="6" s="1"/>
  <c r="C20" i="8"/>
  <c r="F10" i="8"/>
  <c r="C128" i="8"/>
  <c r="F128" i="8" s="1"/>
  <c r="C110" i="8"/>
  <c r="F110" i="8" s="1"/>
  <c r="C92" i="8"/>
  <c r="F92" i="8" s="1"/>
  <c r="C74" i="8"/>
  <c r="C56" i="8"/>
  <c r="F56" i="8" s="1"/>
  <c r="C38" i="8"/>
  <c r="F38" i="8" s="1"/>
  <c r="C155" i="8" l="1"/>
  <c r="F74" i="8"/>
  <c r="F20" i="8"/>
  <c r="N17" i="6"/>
  <c r="N15" i="6"/>
  <c r="J20" i="6"/>
  <c r="J24" i="6" s="1"/>
  <c r="F155" i="8" l="1"/>
  <c r="D13" i="6"/>
  <c r="H13" i="6" s="1"/>
  <c r="N13" i="6"/>
  <c r="L13" i="6"/>
  <c r="E157" i="8" l="1"/>
  <c r="F157" i="8" s="1"/>
  <c r="R13" i="6"/>
  <c r="P13" i="6"/>
  <c r="T13" i="6" s="1"/>
  <c r="J138" i="5"/>
  <c r="H146" i="5"/>
  <c r="F146" i="5"/>
  <c r="E146" i="5"/>
  <c r="H128" i="5"/>
  <c r="F128" i="5"/>
  <c r="E128" i="5"/>
  <c r="H110" i="5"/>
  <c r="F110" i="5"/>
  <c r="E110" i="5"/>
  <c r="K84" i="5"/>
  <c r="K83" i="5"/>
  <c r="H92" i="5"/>
  <c r="F92" i="5"/>
  <c r="E92" i="5"/>
  <c r="H74" i="5"/>
  <c r="F74" i="5"/>
  <c r="E74" i="5"/>
  <c r="J48" i="5"/>
  <c r="H56" i="5"/>
  <c r="F56" i="5"/>
  <c r="E56" i="5"/>
  <c r="H38" i="5"/>
  <c r="F38" i="5"/>
  <c r="E38" i="5"/>
  <c r="E20" i="5"/>
  <c r="O20" i="4"/>
  <c r="O73" i="4"/>
  <c r="O64" i="4"/>
  <c r="O55" i="4"/>
  <c r="O46" i="4"/>
  <c r="O37" i="4"/>
  <c r="O28" i="4"/>
  <c r="O11" i="4"/>
  <c r="C159" i="5"/>
  <c r="E157" i="5" l="1"/>
  <c r="K12" i="5"/>
  <c r="J12" i="5"/>
  <c r="K16" i="5"/>
  <c r="J16" i="5"/>
  <c r="I16" i="5"/>
  <c r="J29" i="5"/>
  <c r="I29" i="5"/>
  <c r="K29" i="5"/>
  <c r="I48" i="5"/>
  <c r="K48" i="5"/>
  <c r="J63" i="5"/>
  <c r="I63" i="5"/>
  <c r="K63" i="5"/>
  <c r="K71" i="5"/>
  <c r="J71" i="5"/>
  <c r="I71" i="5"/>
  <c r="J86" i="5"/>
  <c r="I86" i="5"/>
  <c r="K86" i="5"/>
  <c r="K101" i="5"/>
  <c r="I101" i="5"/>
  <c r="J101" i="5"/>
  <c r="J143" i="5"/>
  <c r="I143" i="5"/>
  <c r="K143" i="5"/>
  <c r="J9" i="5"/>
  <c r="I9" i="5"/>
  <c r="K9" i="5"/>
  <c r="J13" i="5"/>
  <c r="I13" i="5"/>
  <c r="K13" i="5"/>
  <c r="K17" i="5"/>
  <c r="J17" i="5"/>
  <c r="I17" i="5"/>
  <c r="I26" i="5"/>
  <c r="J26" i="5"/>
  <c r="K26" i="5"/>
  <c r="I30" i="5"/>
  <c r="K30" i="5"/>
  <c r="J30" i="5"/>
  <c r="I34" i="5"/>
  <c r="K34" i="5"/>
  <c r="J34" i="5"/>
  <c r="J45" i="5"/>
  <c r="I45" i="5"/>
  <c r="K45" i="5"/>
  <c r="K49" i="5"/>
  <c r="J49" i="5"/>
  <c r="I49" i="5"/>
  <c r="K53" i="5"/>
  <c r="J53" i="5"/>
  <c r="I53" i="5"/>
  <c r="J64" i="5"/>
  <c r="I64" i="5"/>
  <c r="K64" i="5"/>
  <c r="I68" i="5"/>
  <c r="J68" i="5"/>
  <c r="K68" i="5"/>
  <c r="I72" i="5"/>
  <c r="K72" i="5"/>
  <c r="J72" i="5"/>
  <c r="J79" i="5"/>
  <c r="I79" i="5"/>
  <c r="K79" i="5"/>
  <c r="J81" i="5"/>
  <c r="I81" i="5"/>
  <c r="K81" i="5"/>
  <c r="K87" i="5"/>
  <c r="I87" i="5"/>
  <c r="J87" i="5"/>
  <c r="I98" i="5"/>
  <c r="J98" i="5"/>
  <c r="K98" i="5"/>
  <c r="J102" i="5"/>
  <c r="K102" i="5"/>
  <c r="I102" i="5"/>
  <c r="J106" i="5"/>
  <c r="K106" i="5"/>
  <c r="I106" i="5"/>
  <c r="J117" i="5"/>
  <c r="I117" i="5"/>
  <c r="K117" i="5"/>
  <c r="J121" i="5"/>
  <c r="K121" i="5"/>
  <c r="I121" i="5"/>
  <c r="J125" i="5"/>
  <c r="I125" i="5"/>
  <c r="K125" i="5"/>
  <c r="J136" i="5"/>
  <c r="I136" i="5"/>
  <c r="K136" i="5"/>
  <c r="I140" i="5"/>
  <c r="K140" i="5"/>
  <c r="J140" i="5"/>
  <c r="I144" i="5"/>
  <c r="K144" i="5"/>
  <c r="J144" i="5"/>
  <c r="J8" i="5"/>
  <c r="I8" i="5"/>
  <c r="K8" i="5"/>
  <c r="I25" i="5"/>
  <c r="J25" i="5"/>
  <c r="J33" i="5"/>
  <c r="I33" i="5"/>
  <c r="K33" i="5"/>
  <c r="J44" i="5"/>
  <c r="I44" i="5"/>
  <c r="K44" i="5"/>
  <c r="J52" i="5"/>
  <c r="K52" i="5"/>
  <c r="I52" i="5"/>
  <c r="K67" i="5"/>
  <c r="J67" i="5"/>
  <c r="I67" i="5"/>
  <c r="I83" i="5"/>
  <c r="J83" i="5"/>
  <c r="J90" i="5"/>
  <c r="K90" i="5"/>
  <c r="I90" i="5"/>
  <c r="I97" i="5"/>
  <c r="J97" i="5"/>
  <c r="K97" i="5"/>
  <c r="K105" i="5"/>
  <c r="I105" i="5"/>
  <c r="J105" i="5"/>
  <c r="J116" i="5"/>
  <c r="I116" i="5"/>
  <c r="K116" i="5"/>
  <c r="K120" i="5"/>
  <c r="I120" i="5"/>
  <c r="J120" i="5"/>
  <c r="K124" i="5"/>
  <c r="I124" i="5"/>
  <c r="J124" i="5"/>
  <c r="J135" i="5"/>
  <c r="I135" i="5"/>
  <c r="K135" i="5"/>
  <c r="J139" i="5"/>
  <c r="I139" i="5"/>
  <c r="K139" i="5"/>
  <c r="I10" i="5"/>
  <c r="J10" i="5"/>
  <c r="K10" i="5"/>
  <c r="J14" i="5"/>
  <c r="I14" i="5"/>
  <c r="K14" i="5"/>
  <c r="J18" i="5"/>
  <c r="I18" i="5"/>
  <c r="K18" i="5"/>
  <c r="I27" i="5"/>
  <c r="J27" i="5"/>
  <c r="K27" i="5"/>
  <c r="J31" i="5"/>
  <c r="K31" i="5"/>
  <c r="I31" i="5"/>
  <c r="J35" i="5"/>
  <c r="I35" i="5"/>
  <c r="K35" i="5"/>
  <c r="J46" i="5"/>
  <c r="I46" i="5"/>
  <c r="K46" i="5"/>
  <c r="I50" i="5"/>
  <c r="K50" i="5"/>
  <c r="J50" i="5"/>
  <c r="K54" i="5"/>
  <c r="J54" i="5"/>
  <c r="I54" i="5"/>
  <c r="I61" i="5"/>
  <c r="J61" i="5"/>
  <c r="K61" i="5"/>
  <c r="J65" i="5"/>
  <c r="K65" i="5"/>
  <c r="I65" i="5"/>
  <c r="J69" i="5"/>
  <c r="K69" i="5"/>
  <c r="I69" i="5"/>
  <c r="J80" i="5"/>
  <c r="I80" i="5"/>
  <c r="K80" i="5"/>
  <c r="J84" i="5"/>
  <c r="I84" i="5"/>
  <c r="J88" i="5"/>
  <c r="K88" i="5"/>
  <c r="I88" i="5"/>
  <c r="I99" i="5"/>
  <c r="J99" i="5"/>
  <c r="K99" i="5"/>
  <c r="I103" i="5"/>
  <c r="K103" i="5"/>
  <c r="J103" i="5"/>
  <c r="I107" i="5"/>
  <c r="K107" i="5"/>
  <c r="J107" i="5"/>
  <c r="J118" i="5"/>
  <c r="I118" i="5"/>
  <c r="K118" i="5"/>
  <c r="I122" i="5"/>
  <c r="K122" i="5"/>
  <c r="J122" i="5"/>
  <c r="I126" i="5"/>
  <c r="K126" i="5"/>
  <c r="J126" i="5"/>
  <c r="J133" i="5"/>
  <c r="I133" i="5"/>
  <c r="K133" i="5"/>
  <c r="I137" i="5"/>
  <c r="J137" i="5"/>
  <c r="K137" i="5"/>
  <c r="J141" i="5"/>
  <c r="K141" i="5"/>
  <c r="I141" i="5"/>
  <c r="I7" i="5"/>
  <c r="K11" i="5"/>
  <c r="J11" i="5"/>
  <c r="I15" i="5"/>
  <c r="K15" i="5"/>
  <c r="J15" i="5"/>
  <c r="C20" i="5"/>
  <c r="I20" i="5" s="1"/>
  <c r="I28" i="5"/>
  <c r="J28" i="5"/>
  <c r="K28" i="5"/>
  <c r="K32" i="5"/>
  <c r="J32" i="5"/>
  <c r="I32" i="5"/>
  <c r="K36" i="5"/>
  <c r="J36" i="5"/>
  <c r="I36" i="5"/>
  <c r="I43" i="5"/>
  <c r="J43" i="5"/>
  <c r="K43" i="5"/>
  <c r="J47" i="5"/>
  <c r="I47" i="5"/>
  <c r="K47" i="5"/>
  <c r="I51" i="5"/>
  <c r="K51" i="5"/>
  <c r="J51" i="5"/>
  <c r="J62" i="5"/>
  <c r="I62" i="5"/>
  <c r="K62" i="5"/>
  <c r="K66" i="5"/>
  <c r="J66" i="5"/>
  <c r="I66" i="5"/>
  <c r="K70" i="5"/>
  <c r="I70" i="5"/>
  <c r="J70" i="5"/>
  <c r="J82" i="5"/>
  <c r="K82" i="5"/>
  <c r="I82" i="5"/>
  <c r="I85" i="5"/>
  <c r="K85" i="5"/>
  <c r="J85" i="5"/>
  <c r="I89" i="5"/>
  <c r="K89" i="5"/>
  <c r="J89" i="5"/>
  <c r="I100" i="5"/>
  <c r="J100" i="5"/>
  <c r="K100" i="5"/>
  <c r="J104" i="5"/>
  <c r="I104" i="5"/>
  <c r="K104" i="5"/>
  <c r="J108" i="5"/>
  <c r="K108" i="5"/>
  <c r="I108" i="5"/>
  <c r="K115" i="5"/>
  <c r="I115" i="5"/>
  <c r="J115" i="5"/>
  <c r="J119" i="5"/>
  <c r="I119" i="5"/>
  <c r="K119" i="5"/>
  <c r="J123" i="5"/>
  <c r="K123" i="5"/>
  <c r="I123" i="5"/>
  <c r="J134" i="5"/>
  <c r="I134" i="5"/>
  <c r="K134" i="5"/>
  <c r="K138" i="5"/>
  <c r="I138" i="5"/>
  <c r="K142" i="5"/>
  <c r="I142" i="5"/>
  <c r="J142" i="5"/>
  <c r="K25" i="5"/>
  <c r="C146" i="5"/>
  <c r="C128" i="5"/>
  <c r="J128" i="5" s="1"/>
  <c r="C110" i="5"/>
  <c r="K110" i="5" s="1"/>
  <c r="C92" i="5"/>
  <c r="J92" i="5" s="1"/>
  <c r="C74" i="5"/>
  <c r="J74" i="5" s="1"/>
  <c r="C56" i="5"/>
  <c r="J56" i="5" s="1"/>
  <c r="C38" i="5"/>
  <c r="J38" i="5" l="1"/>
  <c r="C157" i="5"/>
  <c r="J146" i="5"/>
  <c r="K92" i="5"/>
  <c r="K56" i="5"/>
  <c r="K128" i="5"/>
  <c r="K38" i="5"/>
  <c r="K74" i="5"/>
  <c r="I110" i="5"/>
  <c r="K146" i="5"/>
  <c r="I146" i="5"/>
  <c r="I128" i="5"/>
  <c r="J110" i="5"/>
  <c r="I92" i="5"/>
  <c r="I74" i="5"/>
  <c r="I56" i="5"/>
  <c r="I38" i="5"/>
  <c r="I157" i="5" l="1"/>
  <c r="E159" i="5" s="1"/>
  <c r="I159" i="5" s="1"/>
  <c r="D11" i="6"/>
  <c r="K100" i="1"/>
  <c r="G27" i="1"/>
  <c r="J107" i="1"/>
  <c r="J105" i="1"/>
  <c r="J104" i="1"/>
  <c r="L101" i="1"/>
  <c r="J100" i="1"/>
  <c r="J106" i="1"/>
  <c r="J102" i="1"/>
  <c r="L98" i="1"/>
  <c r="L97" i="1"/>
  <c r="J90" i="1"/>
  <c r="J88" i="1"/>
  <c r="J87" i="1"/>
  <c r="J85" i="1"/>
  <c r="J82" i="1"/>
  <c r="J81" i="1"/>
  <c r="J71" i="1"/>
  <c r="J69" i="1"/>
  <c r="J68" i="1"/>
  <c r="J67" i="1"/>
  <c r="J66" i="1"/>
  <c r="J65" i="1"/>
  <c r="L63" i="1"/>
  <c r="J61" i="1"/>
  <c r="L62" i="1"/>
  <c r="J53" i="1"/>
  <c r="J52" i="1"/>
  <c r="J50" i="1"/>
  <c r="J49" i="1"/>
  <c r="J48" i="1"/>
  <c r="J46" i="1"/>
  <c r="J44" i="1"/>
  <c r="J51" i="1"/>
  <c r="L36" i="1"/>
  <c r="J35" i="1"/>
  <c r="J34" i="1"/>
  <c r="J30" i="1"/>
  <c r="J32" i="1"/>
  <c r="J18" i="1"/>
  <c r="J17" i="1"/>
  <c r="J16" i="1"/>
  <c r="J15" i="1"/>
  <c r="J14" i="1"/>
  <c r="J13" i="1"/>
  <c r="J12" i="1"/>
  <c r="L29" i="1"/>
  <c r="J27" i="1"/>
  <c r="J26" i="1"/>
  <c r="L100" i="1"/>
  <c r="L99" i="1"/>
  <c r="L64" i="1"/>
  <c r="I110" i="1"/>
  <c r="F110" i="1"/>
  <c r="J108" i="1"/>
  <c r="J103" i="1"/>
  <c r="J99" i="1"/>
  <c r="F92" i="1"/>
  <c r="J89" i="1"/>
  <c r="J86" i="1"/>
  <c r="J84" i="1"/>
  <c r="J80" i="1"/>
  <c r="I74" i="1"/>
  <c r="F74" i="1"/>
  <c r="G72" i="1"/>
  <c r="J72" i="1"/>
  <c r="G71" i="1"/>
  <c r="G70" i="1"/>
  <c r="J70" i="1"/>
  <c r="G69" i="1"/>
  <c r="G68" i="1"/>
  <c r="G67" i="1"/>
  <c r="G66" i="1"/>
  <c r="G65" i="1"/>
  <c r="G64" i="1"/>
  <c r="K64" i="1" s="1"/>
  <c r="J64" i="1"/>
  <c r="G63" i="1"/>
  <c r="K63" i="1" s="1"/>
  <c r="K62" i="1"/>
  <c r="J62" i="1"/>
  <c r="G61" i="1"/>
  <c r="F56" i="1"/>
  <c r="J54" i="1"/>
  <c r="J45" i="1"/>
  <c r="I38" i="1"/>
  <c r="F38" i="1"/>
  <c r="G36" i="1"/>
  <c r="G35" i="1"/>
  <c r="G34" i="1"/>
  <c r="G33" i="1"/>
  <c r="J33" i="1"/>
  <c r="G32" i="1"/>
  <c r="G31" i="1"/>
  <c r="J31" i="1"/>
  <c r="G30" i="1"/>
  <c r="G29" i="1"/>
  <c r="G28" i="1"/>
  <c r="J28" i="1"/>
  <c r="G26" i="1"/>
  <c r="G25" i="1"/>
  <c r="J25" i="1"/>
  <c r="G18" i="1"/>
  <c r="G17" i="1"/>
  <c r="G16" i="1"/>
  <c r="G15" i="1"/>
  <c r="G14" i="1"/>
  <c r="G13" i="1"/>
  <c r="J11" i="1"/>
  <c r="J10" i="1"/>
  <c r="G9" i="1"/>
  <c r="J9" i="1"/>
  <c r="G8" i="1"/>
  <c r="J8" i="1"/>
  <c r="G7" i="1"/>
  <c r="J7" i="1"/>
  <c r="O20" i="2"/>
  <c r="O47" i="2"/>
  <c r="O29" i="2"/>
  <c r="O38" i="2"/>
  <c r="O11" i="2"/>
  <c r="P11" i="6" l="1"/>
  <c r="R11" i="6"/>
  <c r="F137" i="1"/>
  <c r="G20" i="1"/>
  <c r="J63" i="1"/>
  <c r="J101" i="1"/>
  <c r="K99" i="1"/>
  <c r="J97" i="1"/>
  <c r="K101" i="1"/>
  <c r="J79" i="1"/>
  <c r="J83" i="1"/>
  <c r="L61" i="1"/>
  <c r="L65" i="1"/>
  <c r="K65" i="1"/>
  <c r="J43" i="1"/>
  <c r="J47" i="1"/>
  <c r="J36" i="1"/>
  <c r="J98" i="1"/>
  <c r="K98" i="1"/>
  <c r="J29" i="1"/>
  <c r="K29" i="1"/>
  <c r="L26" i="1"/>
  <c r="L32" i="1"/>
  <c r="L28" i="1"/>
  <c r="L34" i="1"/>
  <c r="L30" i="1"/>
  <c r="L7" i="1"/>
  <c r="L11" i="1"/>
  <c r="L15" i="1"/>
  <c r="L66" i="1"/>
  <c r="L70" i="1"/>
  <c r="L104" i="1"/>
  <c r="L108" i="1"/>
  <c r="L8" i="1"/>
  <c r="L12" i="1"/>
  <c r="L16" i="1"/>
  <c r="L25" i="1"/>
  <c r="L33" i="1"/>
  <c r="L67" i="1"/>
  <c r="L71" i="1"/>
  <c r="L105" i="1"/>
  <c r="L9" i="1"/>
  <c r="L13" i="1"/>
  <c r="L17" i="1"/>
  <c r="L68" i="1"/>
  <c r="L72" i="1"/>
  <c r="L102" i="1"/>
  <c r="L106" i="1"/>
  <c r="L10" i="1"/>
  <c r="L14" i="1"/>
  <c r="L18" i="1"/>
  <c r="L27" i="1"/>
  <c r="L31" i="1"/>
  <c r="L35" i="1"/>
  <c r="L103" i="1"/>
  <c r="L107" i="1"/>
  <c r="G74" i="1"/>
  <c r="K102" i="1"/>
  <c r="K104" i="1"/>
  <c r="K106" i="1"/>
  <c r="K108" i="1"/>
  <c r="K103" i="1"/>
  <c r="K105" i="1"/>
  <c r="K107" i="1"/>
  <c r="G110" i="1"/>
  <c r="K97" i="1"/>
  <c r="D110" i="1"/>
  <c r="D92" i="1"/>
  <c r="K66" i="1"/>
  <c r="K68" i="1"/>
  <c r="K70" i="1"/>
  <c r="K72" i="1"/>
  <c r="K67" i="1"/>
  <c r="K69" i="1"/>
  <c r="K71" i="1"/>
  <c r="K61" i="1"/>
  <c r="D74" i="1"/>
  <c r="D56" i="1"/>
  <c r="K27" i="1"/>
  <c r="K31" i="1"/>
  <c r="K33" i="1"/>
  <c r="K35" i="1"/>
  <c r="K26" i="1"/>
  <c r="K28" i="1"/>
  <c r="K30" i="1"/>
  <c r="K32" i="1"/>
  <c r="K34" i="1"/>
  <c r="K36" i="1"/>
  <c r="G38" i="1"/>
  <c r="D38" i="1"/>
  <c r="J38" i="1" s="1"/>
  <c r="K25" i="1"/>
  <c r="K14" i="1"/>
  <c r="K18" i="1"/>
  <c r="K11" i="1"/>
  <c r="K15" i="1"/>
  <c r="K10" i="1"/>
  <c r="D20" i="1"/>
  <c r="K9" i="1"/>
  <c r="K13" i="1"/>
  <c r="K17" i="1"/>
  <c r="K8" i="1"/>
  <c r="K12" i="1"/>
  <c r="K16" i="1"/>
  <c r="K7" i="1"/>
  <c r="D137" i="1" l="1"/>
  <c r="D9" i="6" s="1"/>
  <c r="J110" i="1"/>
  <c r="L110" i="1"/>
  <c r="J74" i="1"/>
  <c r="L74" i="1"/>
  <c r="L20" i="1"/>
  <c r="J20" i="1"/>
  <c r="J92" i="1"/>
  <c r="J56" i="1"/>
  <c r="L38" i="1"/>
  <c r="K110" i="1"/>
  <c r="K74" i="1"/>
  <c r="K38" i="1"/>
  <c r="K20" i="1"/>
  <c r="P9" i="6" l="1"/>
  <c r="R9" i="6"/>
  <c r="J137" i="1"/>
  <c r="F139" i="1" s="1"/>
  <c r="J139" i="1" s="1"/>
  <c r="L43" i="1" l="1"/>
  <c r="K43" i="1"/>
  <c r="L44" i="1"/>
  <c r="G44" i="1"/>
  <c r="K44" i="1" s="1"/>
  <c r="L45" i="1"/>
  <c r="G45" i="1"/>
  <c r="K45" i="1" s="1"/>
  <c r="L46" i="1"/>
  <c r="G46" i="1"/>
  <c r="K46" i="1" l="1"/>
  <c r="L47" i="1"/>
  <c r="G47" i="1"/>
  <c r="K47" i="1" s="1"/>
  <c r="L48" i="1"/>
  <c r="G48" i="1"/>
  <c r="K48" i="1" s="1"/>
  <c r="L49" i="1"/>
  <c r="G49" i="1"/>
  <c r="K49" i="1" s="1"/>
  <c r="L50" i="1"/>
  <c r="G50" i="1"/>
  <c r="K50" i="1" l="1"/>
  <c r="L51" i="1"/>
  <c r="G51" i="1"/>
  <c r="K51" i="1" s="1"/>
  <c r="L52" i="1"/>
  <c r="G52" i="1"/>
  <c r="K52" i="1" s="1"/>
  <c r="L53" i="1"/>
  <c r="G53" i="1"/>
  <c r="K53" i="1" s="1"/>
  <c r="L54" i="1"/>
  <c r="I56" i="1"/>
  <c r="L56" i="1" s="1"/>
  <c r="G54" i="1"/>
  <c r="K54" i="1" s="1"/>
  <c r="G56" i="1" l="1"/>
  <c r="L79" i="1"/>
  <c r="G79" i="1"/>
  <c r="K79" i="1" s="1"/>
  <c r="L80" i="1"/>
  <c r="G80" i="1"/>
  <c r="K80" i="1" s="1"/>
  <c r="L81" i="1"/>
  <c r="G81" i="1"/>
  <c r="K81" i="1" s="1"/>
  <c r="L82" i="1"/>
  <c r="G82" i="1"/>
  <c r="K56" i="1" l="1"/>
  <c r="K82" i="1"/>
  <c r="L83" i="1"/>
  <c r="G83" i="1"/>
  <c r="K83" i="1" s="1"/>
  <c r="L84" i="1"/>
  <c r="G84" i="1"/>
  <c r="K84" i="1" l="1"/>
  <c r="L85" i="1"/>
  <c r="G85" i="1"/>
  <c r="K85" i="1" s="1"/>
  <c r="L86" i="1"/>
  <c r="G86" i="1"/>
  <c r="K86" i="1" s="1"/>
  <c r="L87" i="1"/>
  <c r="G87" i="1"/>
  <c r="K87" i="1" s="1"/>
  <c r="L88" i="1"/>
  <c r="G88" i="1"/>
  <c r="K88" i="1" s="1"/>
  <c r="L89" i="1"/>
  <c r="G89" i="1"/>
  <c r="K89" i="1" s="1"/>
  <c r="L90" i="1"/>
  <c r="I92" i="1"/>
  <c r="L92" i="1" s="1"/>
  <c r="G90" i="1"/>
  <c r="K90" i="1" s="1"/>
  <c r="G92" i="1" l="1"/>
  <c r="K92" i="1" l="1"/>
  <c r="G137" i="1"/>
  <c r="K7" i="5"/>
  <c r="F7" i="5"/>
  <c r="J7" i="5" s="1"/>
  <c r="H20" i="5"/>
  <c r="H157" i="5" s="1"/>
  <c r="K157" i="5" s="1"/>
  <c r="I137" i="1" l="1"/>
  <c r="L137" i="1" s="1"/>
  <c r="K137" i="1"/>
  <c r="G139" i="1" s="1"/>
  <c r="K139" i="1" s="1"/>
  <c r="F11" i="6"/>
  <c r="H11" i="6" s="1"/>
  <c r="K20" i="5"/>
  <c r="F20" i="5"/>
  <c r="F157" i="5" l="1"/>
  <c r="J157" i="5" s="1"/>
  <c r="F159" i="5" s="1"/>
  <c r="I139" i="1"/>
  <c r="L139" i="1" s="1"/>
  <c r="F9" i="6"/>
  <c r="L11" i="6"/>
  <c r="T11" i="6"/>
  <c r="N11" i="6"/>
  <c r="J20" i="5"/>
  <c r="L9" i="6" l="1"/>
  <c r="L20" i="6" s="1"/>
  <c r="H9" i="6"/>
  <c r="T9" i="6" s="1"/>
  <c r="T15" i="6" s="1"/>
  <c r="H159" i="5"/>
  <c r="K159" i="5" s="1"/>
  <c r="J159" i="5"/>
  <c r="F20" i="6"/>
  <c r="N20" i="6" s="1"/>
  <c r="N9" i="6"/>
  <c r="F24" i="6" l="1"/>
  <c r="L24" i="6" s="1"/>
  <c r="N24" i="6" s="1"/>
</calcChain>
</file>

<file path=xl/sharedStrings.xml><?xml version="1.0" encoding="utf-8"?>
<sst xmlns="http://schemas.openxmlformats.org/spreadsheetml/2006/main" count="2410" uniqueCount="184">
  <si>
    <t>Street Lights</t>
  </si>
  <si>
    <t>5400 Lauby Rd NPRKG</t>
  </si>
  <si>
    <t>5400 Lauby Rd Meter B</t>
  </si>
  <si>
    <t>5400 Lauby Rd RPU South</t>
  </si>
  <si>
    <t>5400 Lauby Rd</t>
  </si>
  <si>
    <t>5400 Lauby Rd T Hang</t>
  </si>
  <si>
    <t>5984 W Airport Dr</t>
  </si>
  <si>
    <t>6101 W Airport Dr</t>
  </si>
  <si>
    <t>Lauby Rd</t>
  </si>
  <si>
    <t>Terminal</t>
  </si>
  <si>
    <t>6031 W Airport</t>
  </si>
  <si>
    <t>Treatment Plant</t>
  </si>
  <si>
    <t>Economy Lot</t>
  </si>
  <si>
    <t>New ARFF BLD</t>
  </si>
  <si>
    <t xml:space="preserve"> </t>
  </si>
  <si>
    <t>Month</t>
  </si>
  <si>
    <t>Additional</t>
  </si>
  <si>
    <t>Add'l Cost</t>
  </si>
  <si>
    <t>Overall</t>
  </si>
  <si>
    <t>Area</t>
  </si>
  <si>
    <t>Usage</t>
  </si>
  <si>
    <t>Total</t>
  </si>
  <si>
    <t>Expense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</si>
  <si>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</si>
  <si>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</si>
  <si>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</si>
  <si>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</si>
  <si>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</si>
  <si>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</si>
  <si>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</si>
  <si>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</si>
  <si>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</si>
  <si>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 xml:space="preserve">Sep </t>
  </si>
  <si>
    <t>Oct</t>
  </si>
  <si>
    <t>Nov</t>
  </si>
  <si>
    <t>Dec</t>
  </si>
  <si>
    <t>2017</t>
  </si>
  <si>
    <t>All Other Areas</t>
  </si>
  <si>
    <t>Cost per</t>
  </si>
  <si>
    <t>KWH</t>
  </si>
  <si>
    <t>Per KWH</t>
  </si>
  <si>
    <t>April</t>
  </si>
  <si>
    <t>Sep</t>
  </si>
  <si>
    <t>Totals</t>
  </si>
  <si>
    <t>Entire Airport</t>
  </si>
  <si>
    <t>Location</t>
  </si>
  <si>
    <t>Average Expense</t>
  </si>
  <si>
    <t>Overall Cost per</t>
  </si>
  <si>
    <t>Current Year Expense</t>
  </si>
  <si>
    <t>Natural Gas</t>
  </si>
  <si>
    <t>Current Service</t>
  </si>
  <si>
    <t>Company</t>
  </si>
  <si>
    <t>Account #</t>
  </si>
  <si>
    <t>Provider</t>
  </si>
  <si>
    <t>Structure</t>
  </si>
  <si>
    <t>METER #</t>
  </si>
  <si>
    <t>Dominion East Ohio</t>
  </si>
  <si>
    <t>6075 W. Airport Drive</t>
  </si>
  <si>
    <t>Broom Hangar</t>
  </si>
  <si>
    <t>17335164A</t>
  </si>
  <si>
    <t>5400 Lauby Rd. Bldg 2</t>
  </si>
  <si>
    <t>ARFF Building</t>
  </si>
  <si>
    <t>Akron Canton Airport</t>
  </si>
  <si>
    <t>Dump Station</t>
  </si>
  <si>
    <t>14001599A</t>
  </si>
  <si>
    <t>Akron Canton Airport Apt 14</t>
  </si>
  <si>
    <t>Pump House</t>
  </si>
  <si>
    <t>19216626A</t>
  </si>
  <si>
    <t>5400 Lauby Rd. Ste 9</t>
  </si>
  <si>
    <t>2260 International PKWY BLD B</t>
  </si>
  <si>
    <t>Sand Hangar</t>
  </si>
  <si>
    <t>Akron Canton Regional Airport</t>
  </si>
  <si>
    <t>4763 Mount Pleasant St. NW</t>
  </si>
  <si>
    <t>New ARFF Building</t>
  </si>
  <si>
    <t>Electric</t>
  </si>
  <si>
    <t>AEP</t>
  </si>
  <si>
    <t>Water Treatment Plant</t>
  </si>
  <si>
    <t>5430 Lauby Rd BLDG 53B</t>
  </si>
  <si>
    <t>Ohio Edison</t>
  </si>
  <si>
    <t>5984 W. Airport Drive</t>
  </si>
  <si>
    <t>Airfield Lights</t>
  </si>
  <si>
    <t>N/A</t>
  </si>
  <si>
    <t>6101 W. Airport Drive</t>
  </si>
  <si>
    <t>5400 Lauby Rd. NPRKG</t>
  </si>
  <si>
    <t>Long Term Lot B</t>
  </si>
  <si>
    <t>Lauby Rd. Term</t>
  </si>
  <si>
    <t>5400 Lauby Rd.</t>
  </si>
  <si>
    <t>5400 Lauby Rd. T- Hang</t>
  </si>
  <si>
    <t>T-Hangars</t>
  </si>
  <si>
    <t>5400 Lauby Rd. RPU South</t>
  </si>
  <si>
    <t>De-Icing Pad</t>
  </si>
  <si>
    <t>6031 W. Airport Drive</t>
  </si>
  <si>
    <t>RADAR Site</t>
  </si>
  <si>
    <t>4763 Mt. Pleasant St. NW</t>
  </si>
  <si>
    <t>Water</t>
  </si>
  <si>
    <t>City of North Canton</t>
  </si>
  <si>
    <t>5400 #1 Lauby NW</t>
  </si>
  <si>
    <t>5430 #2 Lauby NW</t>
  </si>
  <si>
    <t>5430 #55 Lauby NW</t>
  </si>
  <si>
    <t>5400 Lauby NW</t>
  </si>
  <si>
    <t>5400 Lauby NW, Toll Booth</t>
  </si>
  <si>
    <t>Econ Park Toll Booth</t>
  </si>
  <si>
    <t>LT B Park Toll Booth</t>
  </si>
  <si>
    <t>4763 Mt Pleasant NW ARFF BLD</t>
  </si>
  <si>
    <t>Sewer</t>
  </si>
  <si>
    <t>Stark Sanitary Engineer</t>
  </si>
  <si>
    <t>Terminal and Hangars</t>
  </si>
  <si>
    <t xml:space="preserve">Economy Lot </t>
  </si>
  <si>
    <t>FES Gov Aggregation</t>
  </si>
  <si>
    <t>Oct.</t>
  </si>
  <si>
    <t>Nov.</t>
  </si>
  <si>
    <t>Dec.</t>
  </si>
  <si>
    <t>GA CBP</t>
  </si>
  <si>
    <t>De-Icing Treatment Plant</t>
  </si>
  <si>
    <t>Parking Lot lights</t>
  </si>
  <si>
    <t>Equipment Storage BLD</t>
  </si>
  <si>
    <t>Electric Usage</t>
  </si>
  <si>
    <t>Natural Gas Usage</t>
  </si>
  <si>
    <t>MCF</t>
  </si>
  <si>
    <t>Per MCF</t>
  </si>
  <si>
    <t>Utility</t>
  </si>
  <si>
    <t>Electricity</t>
  </si>
  <si>
    <t>Sanitary Sewer</t>
  </si>
  <si>
    <t>Waste Removal</t>
  </si>
  <si>
    <t>% Change Usage</t>
  </si>
  <si>
    <t>Budget</t>
  </si>
  <si>
    <t>Overall Utility Expense Summary</t>
  </si>
  <si>
    <t>5430-#2 Lauby NW</t>
  </si>
  <si>
    <t>ECON Toll Booth</t>
  </si>
  <si>
    <t>Water Usage</t>
  </si>
  <si>
    <t>Gallon</t>
  </si>
  <si>
    <t>Terminal &amp; Hangars</t>
  </si>
  <si>
    <t>ARFF BLD</t>
  </si>
  <si>
    <t>Plant Expense</t>
  </si>
  <si>
    <t xml:space="preserve">De-Icing Treatment </t>
  </si>
  <si>
    <t>Remaining</t>
  </si>
  <si>
    <t xml:space="preserve">  </t>
  </si>
  <si>
    <t>ARFF / Ops BLD</t>
  </si>
  <si>
    <t xml:space="preserve">Previous </t>
  </si>
  <si>
    <t>Change Usage</t>
  </si>
  <si>
    <t>per Unit</t>
  </si>
  <si>
    <t xml:space="preserve">Avg. Cost </t>
  </si>
  <si>
    <t>054-0-5</t>
  </si>
  <si>
    <t>353 008</t>
  </si>
  <si>
    <t>377-1-2</t>
  </si>
  <si>
    <t>MidAmerican Energy</t>
  </si>
  <si>
    <t>Carry Over</t>
  </si>
  <si>
    <t>Previous  Year</t>
  </si>
  <si>
    <t>Sage Balance</t>
  </si>
  <si>
    <t>Difference</t>
  </si>
  <si>
    <t>Comparison with Prior YTD</t>
  </si>
  <si>
    <t xml:space="preserve"> % Remaining</t>
  </si>
  <si>
    <t>Est. Expense</t>
  </si>
  <si>
    <t>LT A Toll Booth</t>
  </si>
  <si>
    <t>LT B Toll Booth</t>
  </si>
  <si>
    <t>LT A Park Toll Booth</t>
  </si>
  <si>
    <t>Short Term / LT A</t>
  </si>
  <si>
    <t>Short Term / Long Term Lot A</t>
  </si>
  <si>
    <t>ST &amp; LT Lot A</t>
  </si>
  <si>
    <t>First Energy Solutions - GAP</t>
  </si>
  <si>
    <t>852 441</t>
  </si>
  <si>
    <t>261 002</t>
  </si>
  <si>
    <t>246 711</t>
  </si>
  <si>
    <t>Now</t>
  </si>
  <si>
    <t>208 261</t>
  </si>
  <si>
    <t>2018</t>
  </si>
  <si>
    <t xml:space="preserve">First Energy Solutions </t>
  </si>
  <si>
    <t>Expiration May 2021</t>
  </si>
  <si>
    <t>&amp; OE Gov Aggregation</t>
  </si>
  <si>
    <t>2019</t>
  </si>
  <si>
    <t xml:space="preserve">Constellation Energy </t>
  </si>
  <si>
    <t>Employee Parking Lot</t>
  </si>
  <si>
    <t>753 950</t>
  </si>
  <si>
    <t>Utilities and Locations as of February 22, 2019</t>
  </si>
  <si>
    <t>Employee Lot Long Term B</t>
  </si>
  <si>
    <t>S323330571</t>
  </si>
  <si>
    <t>2020</t>
  </si>
  <si>
    <t>Comparison with 2020 Budget</t>
  </si>
  <si>
    <t>Total YTD 2020</t>
  </si>
  <si>
    <t>updated 8/10/2020</t>
  </si>
  <si>
    <t>updated August 10, 2020</t>
  </si>
  <si>
    <t>updated 8/10/20</t>
  </si>
  <si>
    <t>(updated 8/10/2020)</t>
  </si>
  <si>
    <t>Castle Avaition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</si>
</sst>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#,##0.0000"/>
    <numFmt numFmtId="166" formatCode="&quot;$&quot;#,##0.0000"/>
    <numFmt numFmtId="167" formatCode="#,##0.0"/>
    <numFmt numFmtId="168" formatCode="&quot;$&quot;#,##0.00000"/>
  </numFmts>
  <fonts count="1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u/>
      <sz val="11"/>
      <color theme="1"/>
      <name val="Arial"/>
      <family val="2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/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0" xfId="0" quotePrefix="1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5" fillId="0" borderId="0" xfId="0" applyFont="1"/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1" fillId="0" borderId="0" xfId="0" quotePrefix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0" fillId="2" borderId="0" xfId="0" applyFill="1"/>
    <xf numFmtId="166" fontId="1" fillId="0" borderId="0" xfId="0" applyNumberFormat="1" applyFont="1"/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/>
    </xf>
    <xf numFmtId="166" fontId="7" fillId="0" borderId="0" xfId="0" applyNumberFormat="1" applyFont="1" applyAlignment="1">
      <alignment horizontal="center"/>
    </xf>
    <xf numFmtId="164" fontId="8" fillId="0" borderId="0" xfId="0" applyNumberFormat="1" applyFont="1"/>
    <xf numFmtId="16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167" fontId="1" fillId="0" borderId="0" xfId="0" applyNumberFormat="1" applyFont="1" applyAlignment="1">
      <alignment horizontal="center"/>
    </xf>
    <xf numFmtId="167" fontId="2" fillId="0" borderId="0" xfId="0" quotePrefix="1" applyNumberFormat="1" applyFont="1"/>
    <xf numFmtId="167" fontId="3" fillId="0" borderId="0" xfId="0" applyNumberFormat="1" applyFont="1" applyAlignment="1">
      <alignment horizontal="center"/>
    </xf>
    <xf numFmtId="0" fontId="10" fillId="0" borderId="0" xfId="0" applyFont="1"/>
    <xf numFmtId="16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/>
    <xf numFmtId="164" fontId="7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0" fillId="0" borderId="0" xfId="0" applyNumberFormat="1"/>
    <xf numFmtId="3" fontId="1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quotePrefix="1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64" fontId="7" fillId="0" borderId="5" xfId="0" quotePrefix="1" applyNumberFormat="1" applyFont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5" xfId="0" quotePrefix="1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quotePrefix="1" applyNumberFormat="1" applyFont="1" applyFill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"/>
  <sheetViews>
    <sheetView tabSelected="1" workbookViewId="0">
      <selection activeCell="H40" sqref="H40"/>
    </sheetView>
  </sheetViews>
  <sheetFormatPr defaultRowHeight="15" x14ac:dyDescent="0.25"/>
  <cols>
    <col min="1" max="1" width="12.28515625" style="25" customWidth="1"/>
    <col min="2" max="2" width="18.42578125" style="25" customWidth="1"/>
    <col min="3" max="3" width="2.7109375" style="25" customWidth="1"/>
    <col min="4" max="4" width="13.7109375" style="26" customWidth="1"/>
    <col min="5" max="5" width="2.7109375" style="26" customWidth="1"/>
    <col min="6" max="6" width="13.28515625" style="55" customWidth="1"/>
    <col min="7" max="7" width="2.7109375" style="55" customWidth="1"/>
    <col min="8" max="8" width="13.85546875" style="34" customWidth="1"/>
    <col min="9" max="9" width="2.7109375" style="26" customWidth="1"/>
    <col min="10" max="10" width="14.140625" style="26" customWidth="1"/>
    <col min="11" max="11" width="2.7109375" style="26" customWidth="1"/>
    <col min="12" max="12" width="12.7109375" style="26" customWidth="1"/>
    <col min="13" max="13" width="2.7109375" style="26" customWidth="1"/>
    <col min="14" max="14" width="14.85546875" style="26" customWidth="1"/>
    <col min="15" max="15" width="2.7109375" style="26" customWidth="1"/>
    <col min="16" max="16" width="16.42578125" style="26" customWidth="1"/>
    <col min="17" max="17" width="2.7109375" style="26" customWidth="1"/>
    <col min="18" max="18" width="18.42578125" style="64" customWidth="1"/>
    <col min="19" max="19" width="2.7109375" style="33" customWidth="1"/>
    <col min="20" max="20" width="14.42578125" style="55" customWidth="1"/>
    <col min="21" max="21" width="2.7109375" style="26" customWidth="1"/>
    <col min="22" max="22" width="15" style="64" customWidth="1"/>
  </cols>
  <sheetData>
    <row r="1" spans="1:21" x14ac:dyDescent="0.25">
      <c r="A1" s="54" t="s">
        <v>126</v>
      </c>
    </row>
    <row r="2" spans="1:21" x14ac:dyDescent="0.25">
      <c r="A2" s="54" t="s">
        <v>180</v>
      </c>
    </row>
    <row r="5" spans="1:21" x14ac:dyDescent="0.25">
      <c r="J5" s="100" t="s">
        <v>177</v>
      </c>
      <c r="K5" s="100"/>
      <c r="L5" s="100"/>
      <c r="M5" s="100"/>
      <c r="N5" s="100"/>
      <c r="P5" s="100" t="s">
        <v>150</v>
      </c>
      <c r="Q5" s="100"/>
      <c r="R5" s="100"/>
      <c r="S5" s="54"/>
      <c r="T5" s="54"/>
    </row>
    <row r="6" spans="1:21" x14ac:dyDescent="0.25">
      <c r="H6" s="36" t="s">
        <v>141</v>
      </c>
      <c r="L6" s="37" t="s">
        <v>14</v>
      </c>
      <c r="N6" s="65" t="s">
        <v>14</v>
      </c>
      <c r="T6" s="57" t="s">
        <v>152</v>
      </c>
      <c r="U6" s="37"/>
    </row>
    <row r="7" spans="1:21" x14ac:dyDescent="0.25">
      <c r="A7" s="5" t="s">
        <v>23</v>
      </c>
      <c r="B7" s="5" t="s">
        <v>120</v>
      </c>
      <c r="D7" s="5" t="s">
        <v>20</v>
      </c>
      <c r="F7" s="6" t="s">
        <v>22</v>
      </c>
      <c r="H7" s="61" t="s">
        <v>140</v>
      </c>
      <c r="I7" s="60"/>
      <c r="J7" s="57" t="s">
        <v>125</v>
      </c>
      <c r="K7" s="60"/>
      <c r="L7" s="38" t="s">
        <v>135</v>
      </c>
      <c r="M7" s="60"/>
      <c r="N7" s="66" t="s">
        <v>151</v>
      </c>
      <c r="O7" s="60"/>
      <c r="P7" s="37" t="s">
        <v>139</v>
      </c>
      <c r="Q7" s="60"/>
      <c r="R7" s="65" t="s">
        <v>124</v>
      </c>
      <c r="T7" s="56" t="s">
        <v>149</v>
      </c>
      <c r="U7" s="38"/>
    </row>
    <row r="8" spans="1:21" x14ac:dyDescent="0.25">
      <c r="J8" s="55"/>
      <c r="N8" s="64"/>
    </row>
    <row r="9" spans="1:21" x14ac:dyDescent="0.25">
      <c r="A9" s="26">
        <v>2020</v>
      </c>
      <c r="B9" s="26" t="s">
        <v>121</v>
      </c>
      <c r="D9" s="62">
        <f>'Electric Expense'!D137</f>
        <v>3396956</v>
      </c>
      <c r="F9" s="55">
        <f>'Electric Expense'!I137</f>
        <v>279948.77</v>
      </c>
      <c r="H9" s="34">
        <f>F9/D9</f>
        <v>8.2411656200433572E-2</v>
      </c>
      <c r="J9" s="55">
        <v>530000</v>
      </c>
      <c r="L9" s="55">
        <f>J9-F9</f>
        <v>250051.22999999998</v>
      </c>
      <c r="N9" s="64">
        <f>SUM(J9-F9)/J9</f>
        <v>0.47179477358490562</v>
      </c>
      <c r="P9" s="62">
        <f>D9-SUM('Electric Usage'!Q8+'Electric Usage'!Q17+'Electric Usage'!Q26+'Electric Usage'!Q35+'Electric Usage'!Q44+'Electric Usage'!Q53)</f>
        <v>-150899</v>
      </c>
      <c r="R9" s="64">
        <f>SUM((D9-SUM('Electric Usage'!Q8+'Electric Usage'!Q17+'Electric Usage'!Q26+'Electric Usage'!Q35+'Electric Usage'!Q44+'Electric Usage'!Q53))/SUM('Electric Usage'!Q8+'Electric Usage'!Q17+'Electric Usage'!Q26+'Electric Usage'!Q35+'Electric Usage'!Q44+'Electric Usage'!Q53))</f>
        <v>-4.2532459753851268E-2</v>
      </c>
      <c r="T9" s="55">
        <f>P9*H9</f>
        <v>-12435.836508989225</v>
      </c>
    </row>
    <row r="10" spans="1:21" x14ac:dyDescent="0.25">
      <c r="B10" s="26"/>
      <c r="D10" s="62"/>
      <c r="J10" s="55"/>
      <c r="N10" s="64"/>
      <c r="P10" s="62"/>
    </row>
    <row r="11" spans="1:21" x14ac:dyDescent="0.25">
      <c r="B11" s="26" t="s">
        <v>49</v>
      </c>
      <c r="D11" s="62">
        <f>'Natural Gas Expense'!C157</f>
        <v>13271.200000000003</v>
      </c>
      <c r="F11" s="55">
        <f>'Natural Gas Expense'!H157</f>
        <v>65430.87000000001</v>
      </c>
      <c r="H11" s="34">
        <f>F11/D11</f>
        <v>4.9302904032792814</v>
      </c>
      <c r="J11" s="55">
        <v>110000</v>
      </c>
      <c r="L11" s="55">
        <f>J11-F11</f>
        <v>44569.12999999999</v>
      </c>
      <c r="N11" s="64">
        <f>SUM(J11-F11)/J11</f>
        <v>0.405173909090909</v>
      </c>
      <c r="P11" s="62">
        <f>D11-SUM('Natural Gas Usage'!Q8+'Natural Gas Usage'!Q17+'Natural Gas Usage'!Q25+'Natural Gas Usage'!Q34+'Natural Gas Usage'!Q43+'Natural Gas Usage'!Q52+'Natural Gas Usage'!Q61+'Natural Gas Usage'!Q70)</f>
        <v>1458.5000000000018</v>
      </c>
      <c r="R11" s="64">
        <f>SUM((D11-SUM('Natural Gas Usage'!Q8+'Natural Gas Usage'!Q17+'Natural Gas Usage'!Q25+'Natural Gas Usage'!Q34+'Natural Gas Usage'!Q43+'Natural Gas Usage'!Q52+'Natural Gas Usage'!Q61+'Natural Gas Usage'!Q70))/SUM('Natural Gas Usage'!Q8+'Natural Gas Usage'!Q17+'Natural Gas Usage'!Q25+'Natural Gas Usage'!Q34+'Natural Gas Usage'!Q43+'Natural Gas Usage'!Q52+'Natural Gas Usage'!Q61+'Natural Gas Usage'!Q70))</f>
        <v>0.12346880899371031</v>
      </c>
      <c r="T11" s="55">
        <f>P11*H11</f>
        <v>7190.8285531828406</v>
      </c>
    </row>
    <row r="12" spans="1:21" x14ac:dyDescent="0.25">
      <c r="B12" s="26"/>
      <c r="D12" s="62"/>
      <c r="J12" s="55"/>
      <c r="N12" s="64"/>
      <c r="P12" s="62"/>
    </row>
    <row r="13" spans="1:21" x14ac:dyDescent="0.25">
      <c r="B13" s="26" t="s">
        <v>94</v>
      </c>
      <c r="D13" s="62">
        <f>'Water Expense'!C155</f>
        <v>2125000</v>
      </c>
      <c r="F13" s="55">
        <f>'Water Expense'!E155</f>
        <v>18849.39</v>
      </c>
      <c r="H13" s="34">
        <f>F13/D13</f>
        <v>8.8703011764705887E-3</v>
      </c>
      <c r="J13" s="55">
        <v>75000</v>
      </c>
      <c r="L13" s="55">
        <f>J13-F13</f>
        <v>56150.61</v>
      </c>
      <c r="N13" s="64">
        <f>SUM(J13-F13)/J13</f>
        <v>0.74867479999999997</v>
      </c>
      <c r="P13" s="62">
        <f>D13-SUM('Water Usage'!Q9+'Water Usage'!Q18+'Water Usage'!Q27+'Water Usage'!Q36+'Water Usage'!Q45+'Water Usage'!Q54+'Water Usage'!Q63)</f>
        <v>-1099000</v>
      </c>
      <c r="R13" s="64">
        <f>SUM((D13-SUM('Water Usage'!Q9+'Water Usage'!Q18+'Water Usage'!Q27+'Water Usage'!Q36+'Water Usage'!Q45+'Water Usage'!Q54+'Water Usage'!Q63))/SUM('Water Usage'!Q9+'Water Usage'!Q18+'Water Usage'!Q27+'Water Usage'!Q36+'Water Usage'!Q45+'Water Usage'!Q54+'Water Usage'!Q63))</f>
        <v>-0.34088089330024812</v>
      </c>
      <c r="T13" s="55">
        <f>P13*H13</f>
        <v>-9748.4609929411763</v>
      </c>
    </row>
    <row r="14" spans="1:21" x14ac:dyDescent="0.25">
      <c r="B14" s="26"/>
      <c r="D14" s="62"/>
      <c r="J14" s="55"/>
      <c r="N14" s="64"/>
      <c r="P14" s="62"/>
    </row>
    <row r="15" spans="1:21" x14ac:dyDescent="0.25">
      <c r="B15" s="26" t="s">
        <v>122</v>
      </c>
      <c r="F15" s="55">
        <f>'Sewer Trash Expense'!K20</f>
        <v>25293.9</v>
      </c>
      <c r="J15" s="55">
        <v>55000</v>
      </c>
      <c r="L15" s="55">
        <f>J15-F15</f>
        <v>29706.1</v>
      </c>
      <c r="N15" s="64">
        <f>SUM(J15-F15)/J15</f>
        <v>0.54011090909090909</v>
      </c>
      <c r="P15" s="62"/>
      <c r="R15" s="64" t="s">
        <v>14</v>
      </c>
      <c r="T15" s="57">
        <f>SUM(T9:T13)</f>
        <v>-14993.468948747561</v>
      </c>
    </row>
    <row r="16" spans="1:21" x14ac:dyDescent="0.25">
      <c r="B16" s="26"/>
      <c r="J16" s="55"/>
      <c r="N16" s="64"/>
      <c r="P16" s="62"/>
    </row>
    <row r="17" spans="2:21" x14ac:dyDescent="0.25">
      <c r="B17" s="26" t="s">
        <v>123</v>
      </c>
      <c r="F17" s="55">
        <f>'Sewer Trash Expense'!C37</f>
        <v>16566.399999999998</v>
      </c>
      <c r="J17" s="55">
        <v>38000</v>
      </c>
      <c r="L17" s="55">
        <f>J17-F17</f>
        <v>21433.600000000002</v>
      </c>
      <c r="N17" s="64">
        <f>SUM(J17-F17)/J17</f>
        <v>0.5640421052631579</v>
      </c>
      <c r="P17" s="62"/>
      <c r="R17" s="64" t="s">
        <v>14</v>
      </c>
    </row>
    <row r="18" spans="2:21" x14ac:dyDescent="0.25">
      <c r="J18" s="55"/>
      <c r="N18" s="64"/>
      <c r="P18" s="62"/>
    </row>
    <row r="19" spans="2:21" x14ac:dyDescent="0.25">
      <c r="J19" s="55"/>
      <c r="N19" s="64"/>
      <c r="P19" s="62"/>
    </row>
    <row r="20" spans="2:21" x14ac:dyDescent="0.25">
      <c r="B20" s="37" t="s">
        <v>178</v>
      </c>
      <c r="C20" s="37"/>
      <c r="D20" s="37"/>
      <c r="E20" s="37"/>
      <c r="F20" s="57">
        <f>SUM(F9:F17)</f>
        <v>406089.33000000007</v>
      </c>
      <c r="G20" s="57"/>
      <c r="H20" s="36"/>
      <c r="I20" s="37"/>
      <c r="J20" s="57">
        <f>SUM(J9:J17)</f>
        <v>808000</v>
      </c>
      <c r="K20" s="37"/>
      <c r="L20" s="57">
        <f>SUM(L9:L17)</f>
        <v>401910.66999999993</v>
      </c>
      <c r="M20" s="37"/>
      <c r="N20" s="65">
        <f>SUM(J20-F20)/J20</f>
        <v>0.49741419554455435</v>
      </c>
      <c r="O20" s="37"/>
      <c r="P20" s="67"/>
      <c r="Q20" s="37"/>
      <c r="R20" s="65"/>
      <c r="S20" s="63"/>
      <c r="U20" s="37"/>
    </row>
    <row r="22" spans="2:21" x14ac:dyDescent="0.25">
      <c r="B22" s="37" t="s">
        <v>147</v>
      </c>
      <c r="C22" s="37"/>
      <c r="D22" s="37" t="s">
        <v>146</v>
      </c>
      <c r="E22" s="37"/>
      <c r="F22" s="57">
        <f>1821.99+1402.65+5510.97+33.46+3090.22+8493.24+3377.06+8339.11</f>
        <v>32068.7</v>
      </c>
    </row>
    <row r="23" spans="2:21" x14ac:dyDescent="0.25">
      <c r="B23" s="26"/>
    </row>
    <row r="24" spans="2:21" x14ac:dyDescent="0.25">
      <c r="B24" s="37" t="s">
        <v>148</v>
      </c>
      <c r="C24" s="54"/>
      <c r="D24" s="37"/>
      <c r="E24" s="37"/>
      <c r="F24" s="57">
        <f>SUM(F20:F22)</f>
        <v>438158.03000000009</v>
      </c>
      <c r="J24" s="57">
        <f>SUM(J20)</f>
        <v>808000</v>
      </c>
      <c r="L24" s="57">
        <f>J24-F24</f>
        <v>369841.96999999991</v>
      </c>
      <c r="N24" s="65">
        <f>L24/J24</f>
        <v>0.45772521039603947</v>
      </c>
    </row>
    <row r="27" spans="2:21" x14ac:dyDescent="0.25">
      <c r="B27" s="101"/>
      <c r="C27" s="102"/>
      <c r="D27" s="102"/>
      <c r="E27" s="102"/>
      <c r="F27" s="102"/>
      <c r="G27" s="102"/>
      <c r="H27" s="103"/>
    </row>
    <row r="28" spans="2:21" x14ac:dyDescent="0.25">
      <c r="B28" s="79"/>
      <c r="C28" s="80"/>
      <c r="D28" s="81"/>
      <c r="E28" s="80"/>
      <c r="F28" s="81"/>
      <c r="G28" s="82"/>
      <c r="H28" s="83"/>
    </row>
    <row r="29" spans="2:21" x14ac:dyDescent="0.25">
      <c r="B29" s="84"/>
      <c r="C29" s="80"/>
      <c r="D29" s="80"/>
      <c r="E29" s="80"/>
      <c r="F29" s="85"/>
      <c r="G29" s="82"/>
      <c r="H29" s="86"/>
      <c r="I29" s="78"/>
      <c r="J29" s="78"/>
      <c r="K29" s="78"/>
      <c r="L29" s="78"/>
      <c r="M29" s="78"/>
      <c r="N29" s="78"/>
      <c r="O29" s="78"/>
      <c r="P29" s="78"/>
      <c r="Q29" s="78"/>
      <c r="U29" s="78"/>
    </row>
    <row r="30" spans="2:21" x14ac:dyDescent="0.25">
      <c r="B30" s="90"/>
      <c r="C30" s="91"/>
      <c r="D30" s="91"/>
      <c r="E30" s="91"/>
      <c r="F30" s="87"/>
      <c r="G30" s="88"/>
      <c r="H30" s="89"/>
      <c r="I30" s="78"/>
      <c r="J30" s="78"/>
      <c r="K30" s="78"/>
      <c r="L30" s="78"/>
      <c r="M30" s="78"/>
      <c r="N30" s="78"/>
      <c r="O30" s="78"/>
      <c r="P30" s="78"/>
      <c r="Q30" s="78"/>
      <c r="U30" s="78"/>
    </row>
    <row r="31" spans="2:21" x14ac:dyDescent="0.25">
      <c r="B31" s="90"/>
      <c r="C31" s="91"/>
      <c r="D31" s="91"/>
      <c r="E31" s="91"/>
      <c r="F31" s="87"/>
      <c r="G31" s="88"/>
      <c r="H31" s="89"/>
      <c r="I31" s="78"/>
      <c r="J31" s="78"/>
      <c r="K31" s="78"/>
      <c r="L31" s="78"/>
      <c r="M31" s="78"/>
      <c r="N31" s="78"/>
      <c r="O31" s="78"/>
      <c r="P31" s="78"/>
      <c r="Q31" s="78"/>
      <c r="U31" s="78"/>
    </row>
    <row r="32" spans="2:21" x14ac:dyDescent="0.25">
      <c r="B32" s="90"/>
      <c r="C32" s="91"/>
      <c r="D32" s="91"/>
      <c r="E32" s="91"/>
      <c r="F32" s="87"/>
      <c r="G32" s="88"/>
      <c r="H32" s="89"/>
      <c r="I32" s="78"/>
      <c r="J32" s="78"/>
      <c r="K32" s="78"/>
      <c r="L32" s="78"/>
      <c r="M32" s="78"/>
      <c r="N32" s="78"/>
      <c r="O32" s="78"/>
      <c r="P32" s="78"/>
      <c r="Q32" s="78"/>
      <c r="U32" s="78"/>
    </row>
    <row r="33" spans="2:21" x14ac:dyDescent="0.25">
      <c r="B33" s="90"/>
      <c r="C33" s="91"/>
      <c r="D33" s="87"/>
      <c r="E33" s="91"/>
      <c r="F33" s="87"/>
      <c r="G33" s="88"/>
      <c r="H33" s="89"/>
      <c r="I33" s="78"/>
      <c r="J33" s="78"/>
      <c r="K33" s="78"/>
      <c r="L33" s="78"/>
      <c r="M33" s="78"/>
      <c r="N33" s="78"/>
      <c r="O33" s="78"/>
      <c r="P33" s="78"/>
      <c r="Q33" s="78"/>
      <c r="U33" s="78"/>
    </row>
    <row r="34" spans="2:21" x14ac:dyDescent="0.25">
      <c r="B34" s="90"/>
      <c r="C34" s="91"/>
      <c r="D34" s="87"/>
      <c r="E34" s="91"/>
      <c r="F34" s="87"/>
      <c r="G34" s="88"/>
      <c r="H34" s="89"/>
    </row>
    <row r="35" spans="2:21" x14ac:dyDescent="0.25">
      <c r="B35" s="92"/>
      <c r="C35" s="93"/>
      <c r="D35" s="94"/>
      <c r="E35" s="93"/>
      <c r="F35" s="94"/>
      <c r="G35" s="95"/>
      <c r="H35" s="96"/>
    </row>
  </sheetData>
  <mergeCells count="3">
    <mergeCell ref="J5:N5"/>
    <mergeCell ref="P5:R5"/>
    <mergeCell ref="B27:H27"/>
  </mergeCells>
  <pageMargins left="0.2" right="0.2" top="0.25" bottom="0.25" header="0.3" footer="0.3"/>
  <pageSetup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"/>
  <sheetViews>
    <sheetView workbookViewId="0">
      <selection activeCell="J14" sqref="J14"/>
    </sheetView>
  </sheetViews>
  <sheetFormatPr defaultRowHeight="15" x14ac:dyDescent="0.25"/>
  <cols>
    <col min="1" max="1" width="23.5703125" customWidth="1"/>
    <col min="2" max="3" width="33.5703125" customWidth="1"/>
    <col min="4" max="4" width="21.28515625" customWidth="1"/>
    <col min="5" max="5" width="15.85546875" customWidth="1"/>
  </cols>
  <sheetData>
    <row r="1" spans="1:5" x14ac:dyDescent="0.25">
      <c r="A1" s="39" t="s">
        <v>173</v>
      </c>
      <c r="B1" s="40"/>
      <c r="C1" s="40"/>
      <c r="D1" s="40"/>
      <c r="E1" s="40"/>
    </row>
    <row r="2" spans="1:5" x14ac:dyDescent="0.25">
      <c r="A2" s="13"/>
      <c r="B2" s="13"/>
      <c r="C2" s="13"/>
      <c r="D2" s="13"/>
      <c r="E2" s="13"/>
    </row>
    <row r="3" spans="1:5" ht="15.75" x14ac:dyDescent="0.25">
      <c r="A3" s="104" t="s">
        <v>49</v>
      </c>
      <c r="B3" s="105"/>
      <c r="C3" s="105"/>
      <c r="D3" s="105"/>
      <c r="E3" s="105"/>
    </row>
    <row r="4" spans="1:5" x14ac:dyDescent="0.25">
      <c r="A4" s="41" t="s">
        <v>14</v>
      </c>
      <c r="B4" s="2" t="s">
        <v>50</v>
      </c>
      <c r="C4" s="2" t="s">
        <v>14</v>
      </c>
      <c r="D4" s="2" t="s">
        <v>14</v>
      </c>
      <c r="E4" s="2"/>
    </row>
    <row r="5" spans="1:5" x14ac:dyDescent="0.25">
      <c r="A5" s="42" t="s">
        <v>51</v>
      </c>
      <c r="B5" s="5" t="s">
        <v>53</v>
      </c>
      <c r="C5" s="5" t="s">
        <v>45</v>
      </c>
      <c r="D5" s="5" t="s">
        <v>54</v>
      </c>
      <c r="E5" s="5" t="s">
        <v>55</v>
      </c>
    </row>
    <row r="6" spans="1:5" x14ac:dyDescent="0.25">
      <c r="A6" s="41"/>
      <c r="B6" s="2"/>
      <c r="C6" s="2"/>
      <c r="D6" s="13"/>
      <c r="E6" s="1"/>
    </row>
    <row r="7" spans="1:5" x14ac:dyDescent="0.25">
      <c r="A7" s="43" t="s">
        <v>56</v>
      </c>
      <c r="B7" s="1" t="s">
        <v>170</v>
      </c>
      <c r="C7" s="1" t="s">
        <v>57</v>
      </c>
      <c r="D7" s="1" t="s">
        <v>58</v>
      </c>
      <c r="E7" s="1" t="s">
        <v>59</v>
      </c>
    </row>
    <row r="8" spans="1:5" x14ac:dyDescent="0.25">
      <c r="A8" s="43" t="s">
        <v>56</v>
      </c>
      <c r="B8" s="1" t="s">
        <v>170</v>
      </c>
      <c r="C8" s="1" t="s">
        <v>60</v>
      </c>
      <c r="D8" s="1" t="s">
        <v>112</v>
      </c>
      <c r="E8" s="1">
        <v>18845075</v>
      </c>
    </row>
    <row r="9" spans="1:5" x14ac:dyDescent="0.25">
      <c r="A9" s="43" t="s">
        <v>56</v>
      </c>
      <c r="B9" s="1" t="s">
        <v>170</v>
      </c>
      <c r="C9" s="1" t="s">
        <v>62</v>
      </c>
      <c r="D9" s="1" t="s">
        <v>63</v>
      </c>
      <c r="E9" s="1" t="s">
        <v>64</v>
      </c>
    </row>
    <row r="10" spans="1:5" x14ac:dyDescent="0.25">
      <c r="A10" s="43" t="s">
        <v>56</v>
      </c>
      <c r="B10" s="1" t="s">
        <v>170</v>
      </c>
      <c r="C10" s="1" t="s">
        <v>65</v>
      </c>
      <c r="D10" s="1" t="s">
        <v>66</v>
      </c>
      <c r="E10" s="1" t="s">
        <v>67</v>
      </c>
    </row>
    <row r="11" spans="1:5" x14ac:dyDescent="0.25">
      <c r="A11" s="43" t="s">
        <v>56</v>
      </c>
      <c r="B11" s="1" t="s">
        <v>170</v>
      </c>
      <c r="C11" s="1" t="s">
        <v>68</v>
      </c>
      <c r="D11" s="1" t="s">
        <v>11</v>
      </c>
      <c r="E11" s="1">
        <v>11572200</v>
      </c>
    </row>
    <row r="12" spans="1:5" x14ac:dyDescent="0.25">
      <c r="A12" s="43" t="s">
        <v>56</v>
      </c>
      <c r="B12" s="1" t="s">
        <v>170</v>
      </c>
      <c r="C12" s="1" t="s">
        <v>69</v>
      </c>
      <c r="D12" s="1" t="s">
        <v>70</v>
      </c>
      <c r="E12" s="1">
        <v>13894658</v>
      </c>
    </row>
    <row r="13" spans="1:5" x14ac:dyDescent="0.25">
      <c r="A13" s="43" t="s">
        <v>56</v>
      </c>
      <c r="B13" s="1" t="s">
        <v>170</v>
      </c>
      <c r="C13" s="1" t="s">
        <v>71</v>
      </c>
      <c r="D13" s="1" t="s">
        <v>9</v>
      </c>
      <c r="E13" s="1">
        <v>12091144</v>
      </c>
    </row>
    <row r="14" spans="1:5" x14ac:dyDescent="0.25">
      <c r="A14" s="44" t="s">
        <v>56</v>
      </c>
      <c r="B14" s="1" t="s">
        <v>170</v>
      </c>
      <c r="C14" s="45" t="s">
        <v>72</v>
      </c>
      <c r="D14" s="45" t="s">
        <v>73</v>
      </c>
      <c r="E14" s="45">
        <v>11817749</v>
      </c>
    </row>
    <row r="15" spans="1:5" ht="15.75" x14ac:dyDescent="0.25">
      <c r="A15" s="104" t="s">
        <v>74</v>
      </c>
      <c r="B15" s="105"/>
      <c r="C15" s="105"/>
      <c r="D15" s="105"/>
      <c r="E15" s="105"/>
    </row>
    <row r="16" spans="1:5" x14ac:dyDescent="0.25">
      <c r="A16" s="41" t="s">
        <v>14</v>
      </c>
      <c r="B16" s="2" t="s">
        <v>50</v>
      </c>
      <c r="C16" s="2" t="s">
        <v>14</v>
      </c>
      <c r="D16" s="2" t="s">
        <v>14</v>
      </c>
      <c r="E16" s="2"/>
    </row>
    <row r="17" spans="1:5" x14ac:dyDescent="0.25">
      <c r="A17" s="42" t="s">
        <v>51</v>
      </c>
      <c r="B17" s="5" t="s">
        <v>53</v>
      </c>
      <c r="C17" s="5" t="s">
        <v>45</v>
      </c>
      <c r="D17" s="5" t="s">
        <v>54</v>
      </c>
      <c r="E17" s="5" t="s">
        <v>55</v>
      </c>
    </row>
    <row r="18" spans="1:5" x14ac:dyDescent="0.25">
      <c r="A18" s="41"/>
      <c r="B18" s="2"/>
      <c r="C18" s="2"/>
      <c r="D18" s="2"/>
      <c r="E18" s="2"/>
    </row>
    <row r="19" spans="1:5" x14ac:dyDescent="0.25">
      <c r="A19" s="43" t="s">
        <v>75</v>
      </c>
      <c r="B19" s="1" t="s">
        <v>166</v>
      </c>
      <c r="C19" s="1" t="s">
        <v>76</v>
      </c>
      <c r="D19" s="1" t="s">
        <v>11</v>
      </c>
      <c r="E19" s="1">
        <v>428231329</v>
      </c>
    </row>
    <row r="20" spans="1:5" x14ac:dyDescent="0.25">
      <c r="A20" s="43" t="s">
        <v>75</v>
      </c>
      <c r="B20" s="1" t="s">
        <v>166</v>
      </c>
      <c r="C20" s="1" t="s">
        <v>77</v>
      </c>
      <c r="D20" s="1" t="s">
        <v>12</v>
      </c>
      <c r="E20" s="1">
        <v>428640302</v>
      </c>
    </row>
    <row r="21" spans="1:5" x14ac:dyDescent="0.25">
      <c r="A21" s="43" t="s">
        <v>78</v>
      </c>
      <c r="B21" s="1" t="s">
        <v>159</v>
      </c>
      <c r="C21" s="1" t="s">
        <v>79</v>
      </c>
      <c r="D21" s="1" t="s">
        <v>80</v>
      </c>
      <c r="E21" s="1">
        <v>951603321</v>
      </c>
    </row>
    <row r="22" spans="1:5" x14ac:dyDescent="0.25">
      <c r="A22" s="43" t="s">
        <v>78</v>
      </c>
      <c r="B22" s="1" t="s">
        <v>78</v>
      </c>
      <c r="C22" s="1" t="s">
        <v>0</v>
      </c>
      <c r="D22" s="1" t="s">
        <v>0</v>
      </c>
      <c r="E22" s="1" t="s">
        <v>81</v>
      </c>
    </row>
    <row r="23" spans="1:5" x14ac:dyDescent="0.25">
      <c r="A23" s="43" t="s">
        <v>78</v>
      </c>
      <c r="B23" s="1" t="s">
        <v>159</v>
      </c>
      <c r="C23" s="1" t="s">
        <v>82</v>
      </c>
      <c r="D23" s="1" t="s">
        <v>58</v>
      </c>
      <c r="E23" s="1">
        <v>950965054</v>
      </c>
    </row>
    <row r="24" spans="1:5" x14ac:dyDescent="0.25">
      <c r="A24" s="43" t="s">
        <v>78</v>
      </c>
      <c r="B24" s="1" t="s">
        <v>145</v>
      </c>
      <c r="C24" s="1" t="s">
        <v>8</v>
      </c>
      <c r="D24" s="1" t="s">
        <v>63</v>
      </c>
      <c r="E24" s="1">
        <v>728373532</v>
      </c>
    </row>
    <row r="25" spans="1:5" x14ac:dyDescent="0.25">
      <c r="A25" s="43" t="s">
        <v>78</v>
      </c>
      <c r="B25" s="1" t="s">
        <v>145</v>
      </c>
      <c r="C25" s="1" t="s">
        <v>83</v>
      </c>
      <c r="D25" s="1" t="s">
        <v>84</v>
      </c>
      <c r="E25" s="1">
        <v>683804475</v>
      </c>
    </row>
    <row r="26" spans="1:5" x14ac:dyDescent="0.25">
      <c r="A26" s="43" t="s">
        <v>78</v>
      </c>
      <c r="B26" s="1" t="s">
        <v>145</v>
      </c>
      <c r="C26" s="1" t="s">
        <v>85</v>
      </c>
      <c r="D26" s="1" t="s">
        <v>9</v>
      </c>
      <c r="E26" s="1">
        <v>681635016</v>
      </c>
    </row>
    <row r="27" spans="1:5" x14ac:dyDescent="0.25">
      <c r="A27" s="43" t="s">
        <v>78</v>
      </c>
      <c r="B27" s="1" t="s">
        <v>159</v>
      </c>
      <c r="C27" s="1" t="s">
        <v>86</v>
      </c>
      <c r="D27" s="1" t="s">
        <v>66</v>
      </c>
      <c r="E27" s="1">
        <v>950965881</v>
      </c>
    </row>
    <row r="28" spans="1:5" x14ac:dyDescent="0.25">
      <c r="A28" s="43" t="s">
        <v>78</v>
      </c>
      <c r="B28" s="1" t="s">
        <v>159</v>
      </c>
      <c r="C28" s="1" t="s">
        <v>87</v>
      </c>
      <c r="D28" s="1" t="s">
        <v>88</v>
      </c>
      <c r="E28" s="1">
        <v>686650784</v>
      </c>
    </row>
    <row r="29" spans="1:5" x14ac:dyDescent="0.25">
      <c r="A29" s="43" t="s">
        <v>78</v>
      </c>
      <c r="B29" s="1" t="s">
        <v>78</v>
      </c>
      <c r="C29" s="1" t="s">
        <v>89</v>
      </c>
      <c r="D29" s="1" t="s">
        <v>80</v>
      </c>
      <c r="E29" s="1">
        <v>950913765</v>
      </c>
    </row>
    <row r="30" spans="1:5" x14ac:dyDescent="0.25">
      <c r="A30" s="43" t="s">
        <v>78</v>
      </c>
      <c r="B30" s="1" t="s">
        <v>145</v>
      </c>
      <c r="C30" s="1" t="s">
        <v>2</v>
      </c>
      <c r="D30" s="1" t="s">
        <v>84</v>
      </c>
      <c r="E30" s="1">
        <v>825941300</v>
      </c>
    </row>
    <row r="31" spans="1:5" x14ac:dyDescent="0.25">
      <c r="A31" s="43" t="s">
        <v>78</v>
      </c>
      <c r="B31" s="1" t="s">
        <v>159</v>
      </c>
      <c r="C31" s="1" t="s">
        <v>86</v>
      </c>
      <c r="D31" s="1" t="s">
        <v>90</v>
      </c>
      <c r="E31" s="1">
        <v>834743772</v>
      </c>
    </row>
    <row r="32" spans="1:5" x14ac:dyDescent="0.25">
      <c r="A32" s="43" t="s">
        <v>78</v>
      </c>
      <c r="B32" s="1" t="s">
        <v>78</v>
      </c>
      <c r="C32" s="1" t="s">
        <v>91</v>
      </c>
      <c r="D32" s="1" t="s">
        <v>92</v>
      </c>
      <c r="E32" s="1">
        <v>673827559</v>
      </c>
    </row>
    <row r="33" spans="1:5" x14ac:dyDescent="0.25">
      <c r="A33" s="43" t="s">
        <v>78</v>
      </c>
      <c r="B33" s="1" t="s">
        <v>145</v>
      </c>
      <c r="C33" s="1" t="s">
        <v>93</v>
      </c>
      <c r="D33" s="1" t="s">
        <v>13</v>
      </c>
      <c r="E33" s="1">
        <v>681643275</v>
      </c>
    </row>
    <row r="34" spans="1:5" x14ac:dyDescent="0.25">
      <c r="A34" s="43" t="s">
        <v>78</v>
      </c>
      <c r="B34" s="1" t="s">
        <v>78</v>
      </c>
      <c r="C34" s="1" t="s">
        <v>174</v>
      </c>
      <c r="D34" s="1" t="s">
        <v>171</v>
      </c>
      <c r="E34" s="1" t="s">
        <v>175</v>
      </c>
    </row>
    <row r="35" spans="1:5" ht="15.75" x14ac:dyDescent="0.25">
      <c r="A35" s="104" t="s">
        <v>94</v>
      </c>
      <c r="B35" s="105"/>
      <c r="C35" s="105"/>
      <c r="D35" s="105"/>
      <c r="E35" s="105"/>
    </row>
    <row r="36" spans="1:5" x14ac:dyDescent="0.25">
      <c r="A36" s="41" t="s">
        <v>14</v>
      </c>
      <c r="B36" s="2" t="s">
        <v>50</v>
      </c>
      <c r="C36" s="2" t="s">
        <v>14</v>
      </c>
      <c r="D36" s="2" t="s">
        <v>14</v>
      </c>
      <c r="E36" s="2"/>
    </row>
    <row r="37" spans="1:5" x14ac:dyDescent="0.25">
      <c r="A37" s="42" t="s">
        <v>51</v>
      </c>
      <c r="B37" s="5" t="s">
        <v>53</v>
      </c>
      <c r="C37" s="5" t="s">
        <v>45</v>
      </c>
      <c r="D37" s="5" t="s">
        <v>54</v>
      </c>
      <c r="E37" s="5" t="s">
        <v>55</v>
      </c>
    </row>
    <row r="38" spans="1:5" x14ac:dyDescent="0.25">
      <c r="A38" s="41"/>
      <c r="B38" s="13"/>
      <c r="C38" s="13"/>
      <c r="D38" s="13"/>
      <c r="E38" s="13"/>
    </row>
    <row r="39" spans="1:5" x14ac:dyDescent="0.25">
      <c r="A39" s="43" t="s">
        <v>95</v>
      </c>
      <c r="B39" s="1" t="s">
        <v>95</v>
      </c>
      <c r="C39" s="1" t="s">
        <v>96</v>
      </c>
      <c r="D39" s="1" t="s">
        <v>9</v>
      </c>
      <c r="E39" s="13"/>
    </row>
    <row r="40" spans="1:5" x14ac:dyDescent="0.25">
      <c r="A40" s="43" t="s">
        <v>95</v>
      </c>
      <c r="B40" s="1" t="s">
        <v>95</v>
      </c>
      <c r="C40" s="1" t="s">
        <v>97</v>
      </c>
      <c r="D40" s="1" t="s">
        <v>112</v>
      </c>
      <c r="E40" s="13"/>
    </row>
    <row r="41" spans="1:5" x14ac:dyDescent="0.25">
      <c r="A41" s="43" t="s">
        <v>95</v>
      </c>
      <c r="B41" s="1" t="s">
        <v>95</v>
      </c>
      <c r="C41" s="1" t="s">
        <v>98</v>
      </c>
      <c r="D41" s="1" t="s">
        <v>63</v>
      </c>
      <c r="E41" s="13"/>
    </row>
    <row r="42" spans="1:5" x14ac:dyDescent="0.25">
      <c r="A42" s="43" t="s">
        <v>95</v>
      </c>
      <c r="B42" s="1" t="s">
        <v>95</v>
      </c>
      <c r="C42" s="1" t="s">
        <v>99</v>
      </c>
      <c r="D42" s="1" t="s">
        <v>11</v>
      </c>
      <c r="E42" s="13"/>
    </row>
    <row r="43" spans="1:5" x14ac:dyDescent="0.25">
      <c r="A43" s="43" t="s">
        <v>95</v>
      </c>
      <c r="B43" s="1" t="s">
        <v>95</v>
      </c>
      <c r="C43" s="1" t="s">
        <v>100</v>
      </c>
      <c r="D43" s="1" t="s">
        <v>101</v>
      </c>
      <c r="E43" s="1"/>
    </row>
    <row r="44" spans="1:5" x14ac:dyDescent="0.25">
      <c r="A44" s="43" t="s">
        <v>95</v>
      </c>
      <c r="B44" s="1" t="s">
        <v>95</v>
      </c>
      <c r="C44" s="1" t="s">
        <v>100</v>
      </c>
      <c r="D44" s="1" t="s">
        <v>102</v>
      </c>
      <c r="E44" s="1"/>
    </row>
    <row r="45" spans="1:5" x14ac:dyDescent="0.25">
      <c r="A45" s="43" t="s">
        <v>95</v>
      </c>
      <c r="B45" s="1" t="s">
        <v>95</v>
      </c>
      <c r="C45" s="1" t="s">
        <v>103</v>
      </c>
      <c r="D45" s="1" t="s">
        <v>61</v>
      </c>
      <c r="E45" s="1"/>
    </row>
    <row r="46" spans="1:5" x14ac:dyDescent="0.25">
      <c r="A46" s="44" t="s">
        <v>95</v>
      </c>
      <c r="B46" s="45" t="s">
        <v>95</v>
      </c>
      <c r="C46" s="45" t="s">
        <v>100</v>
      </c>
      <c r="D46" s="45" t="s">
        <v>155</v>
      </c>
      <c r="E46" s="45"/>
    </row>
    <row r="47" spans="1:5" x14ac:dyDescent="0.25">
      <c r="A47" s="13"/>
      <c r="B47" s="13"/>
      <c r="C47" s="13"/>
      <c r="D47" s="13"/>
      <c r="E47" s="13"/>
    </row>
    <row r="48" spans="1:5" ht="15.75" x14ac:dyDescent="0.25">
      <c r="A48" s="104" t="s">
        <v>104</v>
      </c>
      <c r="B48" s="105"/>
      <c r="C48" s="105"/>
      <c r="D48" s="105"/>
      <c r="E48" s="105"/>
    </row>
    <row r="49" spans="1:5" x14ac:dyDescent="0.25">
      <c r="A49" s="72" t="s">
        <v>14</v>
      </c>
      <c r="B49" s="73" t="s">
        <v>50</v>
      </c>
      <c r="C49" s="73" t="s">
        <v>14</v>
      </c>
      <c r="D49" s="73" t="s">
        <v>14</v>
      </c>
      <c r="E49" s="73"/>
    </row>
    <row r="50" spans="1:5" x14ac:dyDescent="0.25">
      <c r="A50" s="42" t="s">
        <v>51</v>
      </c>
      <c r="B50" s="5" t="s">
        <v>53</v>
      </c>
      <c r="C50" s="5" t="s">
        <v>45</v>
      </c>
      <c r="D50" s="5" t="s">
        <v>54</v>
      </c>
      <c r="E50" s="5" t="s">
        <v>55</v>
      </c>
    </row>
    <row r="51" spans="1:5" x14ac:dyDescent="0.25">
      <c r="A51" s="46"/>
      <c r="B51" s="13"/>
      <c r="C51" s="13"/>
      <c r="D51" s="13"/>
      <c r="E51" s="13"/>
    </row>
    <row r="52" spans="1:5" x14ac:dyDescent="0.25">
      <c r="A52" s="43" t="s">
        <v>105</v>
      </c>
      <c r="B52" s="1" t="s">
        <v>105</v>
      </c>
      <c r="C52" s="1" t="s">
        <v>106</v>
      </c>
      <c r="D52" s="1" t="s">
        <v>106</v>
      </c>
      <c r="E52" s="13"/>
    </row>
    <row r="53" spans="1:5" x14ac:dyDescent="0.25">
      <c r="A53" s="43" t="s">
        <v>105</v>
      </c>
      <c r="B53" s="1" t="s">
        <v>105</v>
      </c>
      <c r="C53" s="1" t="s">
        <v>137</v>
      </c>
      <c r="D53" s="1" t="str">
        <f>C53</f>
        <v>ARFF / Ops BLD</v>
      </c>
      <c r="E53" s="13"/>
    </row>
    <row r="54" spans="1:5" x14ac:dyDescent="0.25">
      <c r="A54" s="43" t="s">
        <v>105</v>
      </c>
      <c r="B54" s="1" t="s">
        <v>105</v>
      </c>
      <c r="C54" s="1" t="s">
        <v>11</v>
      </c>
      <c r="D54" s="1" t="s">
        <v>11</v>
      </c>
      <c r="E54" s="13"/>
    </row>
    <row r="55" spans="1:5" x14ac:dyDescent="0.25">
      <c r="A55" s="43" t="s">
        <v>105</v>
      </c>
      <c r="B55" s="1" t="s">
        <v>105</v>
      </c>
      <c r="C55" s="1" t="s">
        <v>107</v>
      </c>
      <c r="D55" s="1" t="s">
        <v>107</v>
      </c>
      <c r="E55" s="13"/>
    </row>
    <row r="56" spans="1:5" x14ac:dyDescent="0.25">
      <c r="A56" s="43" t="s">
        <v>105</v>
      </c>
      <c r="B56" s="1" t="s">
        <v>105</v>
      </c>
      <c r="C56" s="1" t="s">
        <v>84</v>
      </c>
      <c r="D56" s="1" t="s">
        <v>84</v>
      </c>
      <c r="E56" s="13"/>
    </row>
    <row r="57" spans="1:5" x14ac:dyDescent="0.25">
      <c r="A57" s="44" t="s">
        <v>105</v>
      </c>
      <c r="B57" s="45" t="s">
        <v>105</v>
      </c>
      <c r="C57" s="45" t="s">
        <v>157</v>
      </c>
      <c r="D57" s="45" t="s">
        <v>158</v>
      </c>
      <c r="E57" s="47"/>
    </row>
  </sheetData>
  <mergeCells count="4">
    <mergeCell ref="A3:E3"/>
    <mergeCell ref="A15:E15"/>
    <mergeCell ref="A35:E35"/>
    <mergeCell ref="A48:E48"/>
  </mergeCells>
  <pageMargins left="0.2" right="0.2" top="0.25" bottom="0.25" header="0.3" footer="0.3"/>
  <pageSetup paperSize="5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40"/>
  <sheetViews>
    <sheetView topLeftCell="A112" workbookViewId="0">
      <selection activeCell="G148" sqref="G148"/>
    </sheetView>
  </sheetViews>
  <sheetFormatPr defaultRowHeight="15" x14ac:dyDescent="0.25"/>
  <cols>
    <col min="1" max="1" width="11.5703125" customWidth="1"/>
    <col min="3" max="3" width="22.5703125" customWidth="1"/>
    <col min="4" max="4" width="11.7109375" customWidth="1"/>
    <col min="5" max="5" width="2.7109375" customWidth="1"/>
    <col min="6" max="6" width="12.5703125" customWidth="1"/>
    <col min="7" max="7" width="12.42578125" customWidth="1"/>
    <col min="8" max="8" width="2.7109375" customWidth="1"/>
    <col min="9" max="9" width="13.140625" customWidth="1"/>
    <col min="10" max="10" width="11.7109375" style="32" customWidth="1"/>
    <col min="11" max="11" width="13.140625" style="32" customWidth="1"/>
    <col min="12" max="12" width="18.7109375" customWidth="1"/>
  </cols>
  <sheetData>
    <row r="1" spans="1:19" x14ac:dyDescent="0.25">
      <c r="A1" s="9" t="s">
        <v>48</v>
      </c>
      <c r="C1" s="13"/>
      <c r="D1" s="13"/>
      <c r="F1" s="14"/>
      <c r="G1" s="14"/>
      <c r="I1" s="14"/>
      <c r="J1" s="29"/>
      <c r="K1" s="29"/>
    </row>
    <row r="2" spans="1:19" x14ac:dyDescent="0.25">
      <c r="A2" s="9" t="s">
        <v>179</v>
      </c>
      <c r="C2" s="13"/>
      <c r="D2" s="13"/>
      <c r="F2" s="14"/>
      <c r="G2" s="14"/>
      <c r="I2" s="14"/>
      <c r="J2" s="29"/>
      <c r="K2" s="29"/>
      <c r="L2" s="3"/>
    </row>
    <row r="3" spans="1:19" x14ac:dyDescent="0.25">
      <c r="B3" s="1"/>
      <c r="C3" s="1"/>
      <c r="D3" s="1"/>
      <c r="F3" s="15"/>
      <c r="G3" s="15"/>
      <c r="I3" s="15"/>
      <c r="J3" s="18"/>
      <c r="K3" s="18"/>
      <c r="L3" s="8"/>
      <c r="N3" t="s">
        <v>14</v>
      </c>
      <c r="O3" t="s">
        <v>14</v>
      </c>
      <c r="P3" t="s">
        <v>14</v>
      </c>
      <c r="Q3" t="s">
        <v>14</v>
      </c>
      <c r="R3" t="s">
        <v>14</v>
      </c>
      <c r="S3" t="s">
        <v>14</v>
      </c>
    </row>
    <row r="4" spans="1:19" x14ac:dyDescent="0.25">
      <c r="B4" s="2"/>
      <c r="C4" s="2"/>
      <c r="D4" s="2"/>
      <c r="F4" s="3" t="s">
        <v>20</v>
      </c>
      <c r="G4" s="3" t="s">
        <v>16</v>
      </c>
      <c r="I4" s="3" t="s">
        <v>18</v>
      </c>
      <c r="J4" s="30" t="s">
        <v>38</v>
      </c>
      <c r="K4" s="30" t="s">
        <v>17</v>
      </c>
      <c r="L4" s="37" t="s">
        <v>47</v>
      </c>
    </row>
    <row r="5" spans="1:19" x14ac:dyDescent="0.25">
      <c r="A5" s="38" t="s">
        <v>52</v>
      </c>
      <c r="B5" s="5" t="s">
        <v>15</v>
      </c>
      <c r="C5" s="5" t="s">
        <v>19</v>
      </c>
      <c r="D5" s="5" t="s">
        <v>20</v>
      </c>
      <c r="F5" s="6" t="s">
        <v>22</v>
      </c>
      <c r="G5" s="6" t="s">
        <v>22</v>
      </c>
      <c r="I5" s="6" t="s">
        <v>22</v>
      </c>
      <c r="J5" s="31" t="s">
        <v>39</v>
      </c>
      <c r="K5" s="31" t="s">
        <v>40</v>
      </c>
      <c r="L5" s="38" t="s">
        <v>39</v>
      </c>
    </row>
    <row r="6" spans="1:19" x14ac:dyDescent="0.25">
      <c r="B6" s="1"/>
      <c r="C6" s="1"/>
      <c r="D6" s="1"/>
      <c r="F6" s="15"/>
      <c r="G6" s="15"/>
      <c r="I6" s="15"/>
      <c r="J6" s="18"/>
      <c r="K6" s="18"/>
    </row>
    <row r="7" spans="1:19" x14ac:dyDescent="0.25">
      <c r="A7" s="26" t="s">
        <v>160</v>
      </c>
      <c r="B7" s="1" t="s">
        <v>24</v>
      </c>
      <c r="C7" s="1" t="s">
        <v>9</v>
      </c>
      <c r="D7" s="10">
        <f>'Electric Usage'!C11</f>
        <v>459697</v>
      </c>
      <c r="F7" s="15">
        <v>22736.62</v>
      </c>
      <c r="G7" s="15">
        <f>I7-F7</f>
        <v>11999.180000000004</v>
      </c>
      <c r="I7" s="15">
        <v>34735.800000000003</v>
      </c>
      <c r="J7" s="18">
        <f t="shared" ref="J7:J18" si="0">F7/D7</f>
        <v>4.9460013878707063E-2</v>
      </c>
      <c r="K7" s="18">
        <f t="shared" ref="K7:K18" si="1">G7/D7</f>
        <v>2.6102367428980401E-2</v>
      </c>
      <c r="L7" s="18">
        <f>I7/D7</f>
        <v>7.5562381307687457E-2</v>
      </c>
    </row>
    <row r="8" spans="1:19" x14ac:dyDescent="0.25">
      <c r="A8" s="26" t="s">
        <v>163</v>
      </c>
      <c r="B8" s="1" t="s">
        <v>25</v>
      </c>
      <c r="C8" s="1" t="s">
        <v>9</v>
      </c>
      <c r="D8" s="10">
        <f>'Electric Usage'!D11</f>
        <v>392147</v>
      </c>
      <c r="F8" s="15">
        <v>19395.59</v>
      </c>
      <c r="G8" s="15">
        <f t="shared" ref="G8:G18" si="2">I8-F8</f>
        <v>12142</v>
      </c>
      <c r="I8" s="15">
        <v>31537.59</v>
      </c>
      <c r="J8" s="18">
        <f t="shared" si="0"/>
        <v>4.945999841896024E-2</v>
      </c>
      <c r="K8" s="18">
        <f t="shared" si="1"/>
        <v>3.0962878716399717E-2</v>
      </c>
      <c r="L8" s="18">
        <f t="shared" ref="L8:L18" si="3">I8/D8</f>
        <v>8.0422877135359949E-2</v>
      </c>
    </row>
    <row r="9" spans="1:19" x14ac:dyDescent="0.25">
      <c r="A9" s="27" t="s">
        <v>164</v>
      </c>
      <c r="B9" s="1" t="s">
        <v>26</v>
      </c>
      <c r="C9" s="1" t="s">
        <v>9</v>
      </c>
      <c r="D9" s="10">
        <f>'Electric Usage'!E11</f>
        <v>407797</v>
      </c>
      <c r="F9" s="15">
        <v>20169.64</v>
      </c>
      <c r="G9" s="15">
        <f t="shared" si="2"/>
        <v>12814.599999999999</v>
      </c>
      <c r="I9" s="15">
        <v>32984.239999999998</v>
      </c>
      <c r="J9" s="18">
        <f t="shared" si="0"/>
        <v>4.9460000931836182E-2</v>
      </c>
      <c r="K9" s="18">
        <f t="shared" si="1"/>
        <v>3.1423968297952166E-2</v>
      </c>
      <c r="L9" s="18">
        <f t="shared" si="3"/>
        <v>8.0883969229788341E-2</v>
      </c>
    </row>
    <row r="10" spans="1:19" x14ac:dyDescent="0.25">
      <c r="B10" s="1" t="s">
        <v>41</v>
      </c>
      <c r="C10" s="1" t="s">
        <v>9</v>
      </c>
      <c r="D10" s="10">
        <f>'Electric Usage'!F11</f>
        <v>359951</v>
      </c>
      <c r="F10" s="15">
        <v>17803.169999999998</v>
      </c>
      <c r="G10" s="15">
        <f t="shared" si="2"/>
        <v>12121.690000000002</v>
      </c>
      <c r="I10" s="15">
        <v>29924.86</v>
      </c>
      <c r="J10" s="18">
        <f t="shared" si="0"/>
        <v>4.9459982053112778E-2</v>
      </c>
      <c r="K10" s="18">
        <f t="shared" si="1"/>
        <v>3.3675944781373028E-2</v>
      </c>
      <c r="L10" s="18">
        <f t="shared" si="3"/>
        <v>8.3135926834485813E-2</v>
      </c>
    </row>
    <row r="11" spans="1:19" x14ac:dyDescent="0.25">
      <c r="B11" s="1" t="s">
        <v>28</v>
      </c>
      <c r="C11" s="1" t="s">
        <v>9</v>
      </c>
      <c r="D11" s="10">
        <f>'Electric Usage'!G11</f>
        <v>373750</v>
      </c>
      <c r="F11" s="15">
        <v>18485.68</v>
      </c>
      <c r="G11" s="15">
        <f t="shared" si="2"/>
        <v>11021.89</v>
      </c>
      <c r="I11" s="15">
        <v>29507.57</v>
      </c>
      <c r="J11" s="18">
        <f t="shared" si="0"/>
        <v>4.9460013377926423E-2</v>
      </c>
      <c r="K11" s="18">
        <f t="shared" si="1"/>
        <v>2.9490006688963209E-2</v>
      </c>
      <c r="L11" s="18">
        <f t="shared" si="3"/>
        <v>7.8950020066889628E-2</v>
      </c>
    </row>
    <row r="12" spans="1:19" x14ac:dyDescent="0.25">
      <c r="B12" s="1" t="s">
        <v>29</v>
      </c>
      <c r="C12" s="1" t="s">
        <v>9</v>
      </c>
      <c r="D12" s="10">
        <f>'Electric Usage'!H11</f>
        <v>407627</v>
      </c>
      <c r="F12" s="15">
        <v>20161.23</v>
      </c>
      <c r="G12" s="15">
        <f t="shared" si="2"/>
        <v>13146.180000000004</v>
      </c>
      <c r="I12" s="15">
        <v>33307.410000000003</v>
      </c>
      <c r="J12" s="18">
        <f t="shared" si="0"/>
        <v>4.9459996516423105E-2</v>
      </c>
      <c r="K12" s="18">
        <f t="shared" si="1"/>
        <v>3.2250513336947756E-2</v>
      </c>
      <c r="L12" s="18">
        <f t="shared" si="3"/>
        <v>8.1710509853370861E-2</v>
      </c>
    </row>
    <row r="13" spans="1:19" x14ac:dyDescent="0.25">
      <c r="B13" s="1" t="s">
        <v>30</v>
      </c>
      <c r="C13" s="1" t="s">
        <v>9</v>
      </c>
      <c r="D13" s="10">
        <f>'Electric Usage'!I11</f>
        <v>468992</v>
      </c>
      <c r="F13" s="15">
        <v>23196.34</v>
      </c>
      <c r="G13" s="15">
        <f t="shared" si="2"/>
        <v>14584.880000000001</v>
      </c>
      <c r="I13" s="15">
        <v>37781.22</v>
      </c>
      <c r="J13" s="18">
        <f t="shared" si="0"/>
        <v>4.9459990788755459E-2</v>
      </c>
      <c r="K13" s="18">
        <f t="shared" si="1"/>
        <v>3.1098355622270743E-2</v>
      </c>
      <c r="L13" s="18">
        <f t="shared" si="3"/>
        <v>8.0558346411026202E-2</v>
      </c>
    </row>
    <row r="14" spans="1:19" x14ac:dyDescent="0.25">
      <c r="B14" s="1" t="s">
        <v>31</v>
      </c>
      <c r="C14" s="1" t="s">
        <v>9</v>
      </c>
      <c r="D14" s="10">
        <f>'Electric Usage'!J11</f>
        <v>0</v>
      </c>
      <c r="F14" s="15">
        <v>0</v>
      </c>
      <c r="G14" s="15">
        <f t="shared" si="2"/>
        <v>0</v>
      </c>
      <c r="I14" s="15">
        <v>0</v>
      </c>
      <c r="J14" s="18" t="e">
        <f t="shared" si="0"/>
        <v>#DIV/0!</v>
      </c>
      <c r="K14" s="18" t="e">
        <f t="shared" si="1"/>
        <v>#DIV/0!</v>
      </c>
      <c r="L14" s="18" t="e">
        <f t="shared" si="3"/>
        <v>#DIV/0!</v>
      </c>
    </row>
    <row r="15" spans="1:19" x14ac:dyDescent="0.25">
      <c r="B15" s="1" t="s">
        <v>42</v>
      </c>
      <c r="C15" s="1" t="s">
        <v>9</v>
      </c>
      <c r="D15" s="10">
        <f>'Electric Usage'!K11</f>
        <v>0</v>
      </c>
      <c r="F15" s="15">
        <v>0</v>
      </c>
      <c r="G15" s="15">
        <f t="shared" si="2"/>
        <v>0</v>
      </c>
      <c r="I15" s="15">
        <v>0</v>
      </c>
      <c r="J15" s="18" t="e">
        <f t="shared" si="0"/>
        <v>#DIV/0!</v>
      </c>
      <c r="K15" s="18" t="e">
        <f t="shared" si="1"/>
        <v>#DIV/0!</v>
      </c>
      <c r="L15" s="18" t="e">
        <f t="shared" si="3"/>
        <v>#DIV/0!</v>
      </c>
    </row>
    <row r="16" spans="1:19" x14ac:dyDescent="0.25">
      <c r="B16" s="1" t="s">
        <v>33</v>
      </c>
      <c r="C16" s="1" t="s">
        <v>9</v>
      </c>
      <c r="D16" s="10">
        <f>'Electric Usage'!L11</f>
        <v>0</v>
      </c>
      <c r="F16" s="15">
        <v>0</v>
      </c>
      <c r="G16" s="15">
        <f t="shared" si="2"/>
        <v>0</v>
      </c>
      <c r="I16" s="15">
        <v>0</v>
      </c>
      <c r="J16" s="18" t="e">
        <f t="shared" si="0"/>
        <v>#DIV/0!</v>
      </c>
      <c r="K16" s="18" t="e">
        <f t="shared" si="1"/>
        <v>#DIV/0!</v>
      </c>
      <c r="L16" s="18" t="e">
        <f t="shared" si="3"/>
        <v>#DIV/0!</v>
      </c>
    </row>
    <row r="17" spans="1:12" x14ac:dyDescent="0.25">
      <c r="B17" s="1" t="s">
        <v>34</v>
      </c>
      <c r="C17" s="1" t="s">
        <v>9</v>
      </c>
      <c r="D17" s="10">
        <f>'Electric Usage'!M11</f>
        <v>0</v>
      </c>
      <c r="F17" s="15">
        <v>0</v>
      </c>
      <c r="G17" s="15">
        <f t="shared" si="2"/>
        <v>0</v>
      </c>
      <c r="I17" s="15">
        <v>0</v>
      </c>
      <c r="J17" s="18" t="e">
        <f t="shared" si="0"/>
        <v>#DIV/0!</v>
      </c>
      <c r="K17" s="18" t="e">
        <f t="shared" si="1"/>
        <v>#DIV/0!</v>
      </c>
      <c r="L17" s="18" t="e">
        <f t="shared" si="3"/>
        <v>#DIV/0!</v>
      </c>
    </row>
    <row r="18" spans="1:12" x14ac:dyDescent="0.25">
      <c r="B18" s="1" t="s">
        <v>35</v>
      </c>
      <c r="C18" s="1" t="s">
        <v>9</v>
      </c>
      <c r="D18" s="10">
        <f>'Electric Usage'!N11</f>
        <v>0</v>
      </c>
      <c r="F18" s="15">
        <v>0</v>
      </c>
      <c r="G18" s="15">
        <f t="shared" si="2"/>
        <v>0</v>
      </c>
      <c r="I18" s="15">
        <v>0</v>
      </c>
      <c r="J18" s="18" t="e">
        <f t="shared" si="0"/>
        <v>#DIV/0!</v>
      </c>
      <c r="K18" s="18" t="e">
        <f t="shared" si="1"/>
        <v>#DIV/0!</v>
      </c>
      <c r="L18" s="18" t="e">
        <f t="shared" si="3"/>
        <v>#DIV/0!</v>
      </c>
    </row>
    <row r="19" spans="1:12" x14ac:dyDescent="0.25">
      <c r="B19" s="1"/>
      <c r="C19" s="1"/>
      <c r="D19" s="10"/>
      <c r="F19" s="15"/>
      <c r="G19" s="15"/>
      <c r="I19" s="15"/>
      <c r="J19" s="18"/>
      <c r="K19" s="18"/>
    </row>
    <row r="20" spans="1:12" x14ac:dyDescent="0.25">
      <c r="B20" s="1"/>
      <c r="C20" s="2" t="s">
        <v>43</v>
      </c>
      <c r="D20" s="17">
        <f>SUM(D7:D18)</f>
        <v>2869961</v>
      </c>
      <c r="F20" s="3">
        <f>SUM(F7:F18)</f>
        <v>141948.26999999999</v>
      </c>
      <c r="G20" s="3">
        <f>SUM(G7:G18)</f>
        <v>87830.420000000013</v>
      </c>
      <c r="I20" s="3">
        <f>SUM(I7:I18)</f>
        <v>229778.69</v>
      </c>
      <c r="J20" s="30">
        <f>F20/D20</f>
        <v>4.9459999630656996E-2</v>
      </c>
      <c r="K20" s="30">
        <f>G20/D20</f>
        <v>3.0603349662242801E-2</v>
      </c>
      <c r="L20" s="30">
        <f>I20/D20</f>
        <v>8.0063349292899794E-2</v>
      </c>
    </row>
    <row r="21" spans="1:12" x14ac:dyDescent="0.25">
      <c r="B21" s="1"/>
      <c r="C21" s="2"/>
      <c r="D21" s="17"/>
      <c r="F21" s="3"/>
      <c r="G21" s="3"/>
      <c r="I21" s="3"/>
      <c r="J21" s="30"/>
      <c r="K21" s="30"/>
    </row>
    <row r="22" spans="1:12" x14ac:dyDescent="0.25">
      <c r="B22" s="2"/>
      <c r="C22" s="2"/>
      <c r="D22" s="2"/>
      <c r="F22" s="3" t="s">
        <v>20</v>
      </c>
      <c r="G22" s="3" t="s">
        <v>16</v>
      </c>
      <c r="I22" s="3" t="s">
        <v>18</v>
      </c>
      <c r="J22" s="30" t="s">
        <v>38</v>
      </c>
      <c r="K22" s="30" t="s">
        <v>17</v>
      </c>
      <c r="L22" s="37" t="s">
        <v>47</v>
      </c>
    </row>
    <row r="23" spans="1:12" x14ac:dyDescent="0.25">
      <c r="A23" s="38" t="s">
        <v>52</v>
      </c>
      <c r="B23" s="5" t="s">
        <v>15</v>
      </c>
      <c r="C23" s="5" t="s">
        <v>19</v>
      </c>
      <c r="D23" s="5" t="s">
        <v>20</v>
      </c>
      <c r="F23" s="6" t="s">
        <v>22</v>
      </c>
      <c r="G23" s="6" t="s">
        <v>22</v>
      </c>
      <c r="I23" s="6" t="s">
        <v>22</v>
      </c>
      <c r="J23" s="31" t="s">
        <v>39</v>
      </c>
      <c r="K23" s="31" t="s">
        <v>40</v>
      </c>
      <c r="L23" s="38" t="s">
        <v>39</v>
      </c>
    </row>
    <row r="24" spans="1:12" x14ac:dyDescent="0.25">
      <c r="B24" s="1"/>
      <c r="C24" s="1"/>
      <c r="D24" s="1"/>
      <c r="F24" s="15"/>
      <c r="G24" s="15"/>
      <c r="I24" s="15"/>
      <c r="J24" s="18"/>
      <c r="K24" s="18"/>
    </row>
    <row r="25" spans="1:12" x14ac:dyDescent="0.25">
      <c r="A25" s="26" t="s">
        <v>161</v>
      </c>
      <c r="B25" s="1" t="s">
        <v>24</v>
      </c>
      <c r="C25" s="1" t="s">
        <v>13</v>
      </c>
      <c r="D25" s="10">
        <f>'Electric Usage'!C20</f>
        <v>53680</v>
      </c>
      <c r="F25" s="15">
        <v>2655.01</v>
      </c>
      <c r="G25" s="15">
        <f>I25-F25</f>
        <v>1729.3000000000002</v>
      </c>
      <c r="I25" s="15">
        <v>4384.3100000000004</v>
      </c>
      <c r="J25" s="18">
        <f t="shared" ref="J25:J36" si="4">F25/D25</f>
        <v>4.9459947839046205E-2</v>
      </c>
      <c r="K25" s="18">
        <f t="shared" ref="K25:K36" si="5">G25/D25</f>
        <v>3.2214977645305516E-2</v>
      </c>
      <c r="L25" s="18">
        <f t="shared" ref="L25:L36" si="6">I25/D25</f>
        <v>8.1674925484351721E-2</v>
      </c>
    </row>
    <row r="26" spans="1:12" x14ac:dyDescent="0.25">
      <c r="B26" s="1" t="s">
        <v>25</v>
      </c>
      <c r="C26" s="1" t="s">
        <v>13</v>
      </c>
      <c r="D26" s="10">
        <f>'Electric Usage'!D20</f>
        <v>45560</v>
      </c>
      <c r="F26" s="15">
        <v>2253.4</v>
      </c>
      <c r="G26" s="15">
        <f t="shared" ref="G26:G36" si="7">I26-F26</f>
        <v>1635.19</v>
      </c>
      <c r="I26" s="15">
        <v>3888.59</v>
      </c>
      <c r="J26" s="18">
        <f t="shared" si="4"/>
        <v>4.9460052677787532E-2</v>
      </c>
      <c r="K26" s="18">
        <f t="shared" si="5"/>
        <v>3.5890913081650572E-2</v>
      </c>
      <c r="L26" s="18">
        <f t="shared" si="6"/>
        <v>8.535096575943811E-2</v>
      </c>
    </row>
    <row r="27" spans="1:12" x14ac:dyDescent="0.25">
      <c r="B27" s="1" t="s">
        <v>26</v>
      </c>
      <c r="C27" s="1" t="s">
        <v>13</v>
      </c>
      <c r="D27" s="10">
        <f>'Electric Usage'!E20</f>
        <v>41480</v>
      </c>
      <c r="F27" s="15">
        <v>2051.6</v>
      </c>
      <c r="G27" s="15">
        <f t="shared" si="7"/>
        <v>1597.69</v>
      </c>
      <c r="I27" s="15">
        <v>3649.29</v>
      </c>
      <c r="J27" s="18">
        <f t="shared" si="4"/>
        <v>4.9459980713596911E-2</v>
      </c>
      <c r="K27" s="18">
        <f t="shared" si="5"/>
        <v>3.8517116682738668E-2</v>
      </c>
      <c r="L27" s="18">
        <f t="shared" si="6"/>
        <v>8.797709739633558E-2</v>
      </c>
    </row>
    <row r="28" spans="1:12" x14ac:dyDescent="0.25">
      <c r="B28" s="1" t="s">
        <v>41</v>
      </c>
      <c r="C28" s="1" t="s">
        <v>13</v>
      </c>
      <c r="D28" s="10">
        <f>'Electric Usage'!F20</f>
        <v>44760</v>
      </c>
      <c r="F28" s="15">
        <v>2213.83</v>
      </c>
      <c r="G28" s="15">
        <f t="shared" si="7"/>
        <v>1601.62</v>
      </c>
      <c r="I28" s="15">
        <v>3815.45</v>
      </c>
      <c r="J28" s="18">
        <f t="shared" si="4"/>
        <v>4.946000893655049E-2</v>
      </c>
      <c r="K28" s="18">
        <f t="shared" si="5"/>
        <v>3.5782394995531722E-2</v>
      </c>
      <c r="L28" s="18">
        <f t="shared" si="6"/>
        <v>8.5242403932082211E-2</v>
      </c>
    </row>
    <row r="29" spans="1:12" x14ac:dyDescent="0.25">
      <c r="B29" s="1" t="s">
        <v>28</v>
      </c>
      <c r="C29" s="1" t="s">
        <v>13</v>
      </c>
      <c r="D29" s="10">
        <f>'Electric Usage'!G20</f>
        <v>40080</v>
      </c>
      <c r="F29" s="15">
        <v>1982.35</v>
      </c>
      <c r="G29" s="15">
        <f t="shared" si="7"/>
        <v>1501.1600000000003</v>
      </c>
      <c r="I29" s="15">
        <v>3483.51</v>
      </c>
      <c r="J29" s="18">
        <f t="shared" si="4"/>
        <v>4.9459830339321352E-2</v>
      </c>
      <c r="K29" s="18">
        <f t="shared" si="5"/>
        <v>3.7454091816367274E-2</v>
      </c>
      <c r="L29" s="18">
        <f t="shared" si="6"/>
        <v>8.6913922155688633E-2</v>
      </c>
    </row>
    <row r="30" spans="1:12" x14ac:dyDescent="0.25">
      <c r="B30" s="1" t="s">
        <v>29</v>
      </c>
      <c r="C30" s="1" t="s">
        <v>13</v>
      </c>
      <c r="D30" s="10">
        <f>'Electric Usage'!H20</f>
        <v>44240</v>
      </c>
      <c r="F30" s="15">
        <v>2188.11</v>
      </c>
      <c r="G30" s="15">
        <f t="shared" si="7"/>
        <v>1541.48</v>
      </c>
      <c r="I30" s="15">
        <v>3729.59</v>
      </c>
      <c r="J30" s="18">
        <f t="shared" si="4"/>
        <v>4.9459990958408681E-2</v>
      </c>
      <c r="K30" s="18">
        <f t="shared" si="5"/>
        <v>3.4843580470162748E-2</v>
      </c>
      <c r="L30" s="18">
        <f t="shared" si="6"/>
        <v>8.4303571428571436E-2</v>
      </c>
    </row>
    <row r="31" spans="1:12" x14ac:dyDescent="0.25">
      <c r="B31" s="1" t="s">
        <v>30</v>
      </c>
      <c r="C31" s="1" t="s">
        <v>13</v>
      </c>
      <c r="D31" s="10">
        <f>'Electric Usage'!I20</f>
        <v>37520</v>
      </c>
      <c r="F31" s="15">
        <v>1855.74</v>
      </c>
      <c r="G31" s="15">
        <f t="shared" si="7"/>
        <v>1376.68</v>
      </c>
      <c r="I31" s="15">
        <v>3232.42</v>
      </c>
      <c r="J31" s="18">
        <f t="shared" si="4"/>
        <v>4.9460021321961624E-2</v>
      </c>
      <c r="K31" s="18">
        <f t="shared" si="5"/>
        <v>3.6691897654584221E-2</v>
      </c>
      <c r="L31" s="18">
        <f t="shared" si="6"/>
        <v>8.6151918976545838E-2</v>
      </c>
    </row>
    <row r="32" spans="1:12" x14ac:dyDescent="0.25">
      <c r="B32" s="1" t="s">
        <v>31</v>
      </c>
      <c r="C32" s="1" t="s">
        <v>13</v>
      </c>
      <c r="D32" s="10">
        <f>'Electric Usage'!J20</f>
        <v>0</v>
      </c>
      <c r="F32" s="15">
        <v>0</v>
      </c>
      <c r="G32" s="15">
        <f t="shared" si="7"/>
        <v>0</v>
      </c>
      <c r="I32" s="15">
        <v>0</v>
      </c>
      <c r="J32" s="18" t="e">
        <f t="shared" si="4"/>
        <v>#DIV/0!</v>
      </c>
      <c r="K32" s="18" t="e">
        <f t="shared" si="5"/>
        <v>#DIV/0!</v>
      </c>
      <c r="L32" s="18" t="e">
        <f t="shared" si="6"/>
        <v>#DIV/0!</v>
      </c>
    </row>
    <row r="33" spans="1:12" x14ac:dyDescent="0.25">
      <c r="B33" s="1" t="s">
        <v>42</v>
      </c>
      <c r="C33" s="1" t="s">
        <v>13</v>
      </c>
      <c r="D33" s="10">
        <f>'Electric Usage'!K20</f>
        <v>0</v>
      </c>
      <c r="F33" s="15">
        <v>0</v>
      </c>
      <c r="G33" s="15">
        <f t="shared" si="7"/>
        <v>0</v>
      </c>
      <c r="I33" s="15">
        <v>0</v>
      </c>
      <c r="J33" s="18" t="e">
        <f t="shared" si="4"/>
        <v>#DIV/0!</v>
      </c>
      <c r="K33" s="18" t="e">
        <f t="shared" si="5"/>
        <v>#DIV/0!</v>
      </c>
      <c r="L33" s="18" t="e">
        <f t="shared" si="6"/>
        <v>#DIV/0!</v>
      </c>
    </row>
    <row r="34" spans="1:12" x14ac:dyDescent="0.25">
      <c r="B34" s="1" t="s">
        <v>33</v>
      </c>
      <c r="C34" s="1" t="s">
        <v>13</v>
      </c>
      <c r="D34" s="10">
        <f>'Electric Usage'!L20</f>
        <v>0</v>
      </c>
      <c r="F34" s="15">
        <v>0</v>
      </c>
      <c r="G34" s="15">
        <f t="shared" si="7"/>
        <v>0</v>
      </c>
      <c r="I34" s="15">
        <v>0</v>
      </c>
      <c r="J34" s="18" t="e">
        <f t="shared" si="4"/>
        <v>#DIV/0!</v>
      </c>
      <c r="K34" s="18" t="e">
        <f t="shared" si="5"/>
        <v>#DIV/0!</v>
      </c>
      <c r="L34" s="18" t="e">
        <f t="shared" si="6"/>
        <v>#DIV/0!</v>
      </c>
    </row>
    <row r="35" spans="1:12" x14ac:dyDescent="0.25">
      <c r="B35" s="1" t="s">
        <v>34</v>
      </c>
      <c r="C35" s="1" t="s">
        <v>13</v>
      </c>
      <c r="D35" s="10">
        <f>'Electric Usage'!M20</f>
        <v>0</v>
      </c>
      <c r="F35" s="15">
        <v>0</v>
      </c>
      <c r="G35" s="15">
        <f t="shared" si="7"/>
        <v>0</v>
      </c>
      <c r="I35" s="15">
        <v>0</v>
      </c>
      <c r="J35" s="18" t="e">
        <f t="shared" si="4"/>
        <v>#DIV/0!</v>
      </c>
      <c r="K35" s="18" t="e">
        <f t="shared" si="5"/>
        <v>#DIV/0!</v>
      </c>
      <c r="L35" s="18" t="e">
        <f t="shared" si="6"/>
        <v>#DIV/0!</v>
      </c>
    </row>
    <row r="36" spans="1:12" x14ac:dyDescent="0.25">
      <c r="B36" s="1" t="s">
        <v>35</v>
      </c>
      <c r="C36" s="1" t="s">
        <v>13</v>
      </c>
      <c r="D36" s="10">
        <f>'Electric Usage'!N20</f>
        <v>0</v>
      </c>
      <c r="F36" s="15">
        <v>0</v>
      </c>
      <c r="G36" s="15">
        <f t="shared" si="7"/>
        <v>0</v>
      </c>
      <c r="I36" s="15">
        <v>0</v>
      </c>
      <c r="J36" s="18" t="e">
        <f t="shared" si="4"/>
        <v>#DIV/0!</v>
      </c>
      <c r="K36" s="18" t="e">
        <f t="shared" si="5"/>
        <v>#DIV/0!</v>
      </c>
      <c r="L36" s="18" t="e">
        <f t="shared" si="6"/>
        <v>#DIV/0!</v>
      </c>
    </row>
    <row r="37" spans="1:12" x14ac:dyDescent="0.25">
      <c r="B37" s="1"/>
      <c r="C37" s="1"/>
      <c r="D37" s="10"/>
      <c r="F37" s="15"/>
      <c r="G37" s="15"/>
      <c r="I37" s="15"/>
      <c r="J37" s="18"/>
      <c r="K37" s="18"/>
    </row>
    <row r="38" spans="1:12" x14ac:dyDescent="0.25">
      <c r="B38" s="1"/>
      <c r="C38" s="2" t="s">
        <v>43</v>
      </c>
      <c r="D38" s="17">
        <f>SUM(D25:D36)</f>
        <v>307320</v>
      </c>
      <c r="F38" s="3">
        <f>SUM(F25:F36)</f>
        <v>15200.04</v>
      </c>
      <c r="G38" s="3">
        <f>SUM(G25:G36)</f>
        <v>10983.12</v>
      </c>
      <c r="I38" s="3">
        <f>SUM(I25:I36)</f>
        <v>26183.160000000003</v>
      </c>
      <c r="J38" s="30">
        <f>F38/D38</f>
        <v>4.9459976571651701E-2</v>
      </c>
      <c r="K38" s="30">
        <f>G38/D38</f>
        <v>3.5738383443967202E-2</v>
      </c>
      <c r="L38" s="30">
        <f t="shared" ref="L38" si="8">I38/D38</f>
        <v>8.519836001561891E-2</v>
      </c>
    </row>
    <row r="39" spans="1:12" x14ac:dyDescent="0.25">
      <c r="B39" s="1"/>
      <c r="C39" s="1"/>
      <c r="D39" s="1"/>
      <c r="F39" s="15"/>
      <c r="G39" s="15"/>
      <c r="I39" s="15"/>
      <c r="J39" s="18"/>
      <c r="K39" s="18"/>
    </row>
    <row r="40" spans="1:12" x14ac:dyDescent="0.25">
      <c r="B40" s="2"/>
      <c r="C40" s="2"/>
      <c r="D40" s="2"/>
      <c r="F40" s="3" t="s">
        <v>20</v>
      </c>
      <c r="G40" s="3" t="s">
        <v>16</v>
      </c>
      <c r="I40" s="3" t="s">
        <v>18</v>
      </c>
      <c r="J40" s="30" t="s">
        <v>38</v>
      </c>
      <c r="K40" s="30" t="s">
        <v>17</v>
      </c>
      <c r="L40" s="37" t="s">
        <v>47</v>
      </c>
    </row>
    <row r="41" spans="1:12" x14ac:dyDescent="0.25">
      <c r="A41" s="38" t="s">
        <v>52</v>
      </c>
      <c r="B41" s="5" t="s">
        <v>15</v>
      </c>
      <c r="C41" s="5" t="s">
        <v>19</v>
      </c>
      <c r="D41" s="5" t="s">
        <v>20</v>
      </c>
      <c r="F41" s="6" t="s">
        <v>22</v>
      </c>
      <c r="G41" s="6" t="s">
        <v>22</v>
      </c>
      <c r="I41" s="6" t="s">
        <v>22</v>
      </c>
      <c r="J41" s="31" t="s">
        <v>39</v>
      </c>
      <c r="K41" s="31" t="s">
        <v>40</v>
      </c>
      <c r="L41" s="38" t="s">
        <v>39</v>
      </c>
    </row>
    <row r="42" spans="1:12" x14ac:dyDescent="0.25">
      <c r="B42" s="1"/>
      <c r="C42" s="1"/>
      <c r="D42" s="1"/>
      <c r="F42" s="15"/>
      <c r="G42" s="15"/>
      <c r="I42" s="15" t="s">
        <v>14</v>
      </c>
      <c r="J42" s="18"/>
      <c r="K42" s="18"/>
    </row>
    <row r="43" spans="1:12" x14ac:dyDescent="0.25">
      <c r="A43" s="27" t="s">
        <v>142</v>
      </c>
      <c r="B43" s="1" t="s">
        <v>24</v>
      </c>
      <c r="C43" s="1" t="s">
        <v>11</v>
      </c>
      <c r="D43" s="10">
        <f>'Electric Usage'!C29</f>
        <v>34320</v>
      </c>
      <c r="F43" s="15">
        <v>1619.9</v>
      </c>
      <c r="G43" s="15">
        <f>I43-F43</f>
        <v>1123.4299999999998</v>
      </c>
      <c r="I43" s="15">
        <v>2743.33</v>
      </c>
      <c r="J43" s="18">
        <f t="shared" ref="J43:J54" si="9">F43/D43</f>
        <v>4.7199883449883455E-2</v>
      </c>
      <c r="K43" s="18">
        <f t="shared" ref="K43:K54" si="10">G43/D43</f>
        <v>3.2733974358974356E-2</v>
      </c>
      <c r="L43" s="18">
        <f t="shared" ref="L43:L54" si="11">I43/D43</f>
        <v>7.9933857808857811E-2</v>
      </c>
    </row>
    <row r="44" spans="1:12" x14ac:dyDescent="0.25">
      <c r="B44" s="1" t="s">
        <v>25</v>
      </c>
      <c r="C44" s="1" t="s">
        <v>11</v>
      </c>
      <c r="D44" s="10">
        <f>'Electric Usage'!D29</f>
        <v>42960</v>
      </c>
      <c r="F44" s="15">
        <v>2027.71</v>
      </c>
      <c r="G44" s="15">
        <f t="shared" ref="G44:G54" si="12">I44-F44</f>
        <v>1234</v>
      </c>
      <c r="I44" s="15">
        <v>3261.71</v>
      </c>
      <c r="J44" s="18">
        <f t="shared" si="9"/>
        <v>4.7199953445065175E-2</v>
      </c>
      <c r="K44" s="18">
        <f t="shared" si="10"/>
        <v>2.8724394785847301E-2</v>
      </c>
      <c r="L44" s="18">
        <f t="shared" si="11"/>
        <v>7.5924348230912472E-2</v>
      </c>
    </row>
    <row r="45" spans="1:12" x14ac:dyDescent="0.25">
      <c r="B45" s="1" t="s">
        <v>26</v>
      </c>
      <c r="C45" s="1" t="s">
        <v>11</v>
      </c>
      <c r="D45" s="10">
        <f>'Electric Usage'!E29</f>
        <v>20240</v>
      </c>
      <c r="F45" s="15">
        <v>955.33</v>
      </c>
      <c r="G45" s="15">
        <f t="shared" si="12"/>
        <v>930.50999999999988</v>
      </c>
      <c r="I45" s="15">
        <v>1885.84</v>
      </c>
      <c r="J45" s="18">
        <f t="shared" si="9"/>
        <v>4.7200098814229249E-2</v>
      </c>
      <c r="K45" s="18">
        <f t="shared" si="10"/>
        <v>4.5973814229249003E-2</v>
      </c>
      <c r="L45" s="18">
        <f t="shared" si="11"/>
        <v>9.317391304347826E-2</v>
      </c>
    </row>
    <row r="46" spans="1:12" x14ac:dyDescent="0.25">
      <c r="B46" s="1" t="s">
        <v>41</v>
      </c>
      <c r="C46" s="1" t="s">
        <v>11</v>
      </c>
      <c r="D46" s="10">
        <f>'Electric Usage'!F29</f>
        <v>6560</v>
      </c>
      <c r="F46" s="15">
        <v>309.63</v>
      </c>
      <c r="G46" s="15">
        <f t="shared" si="12"/>
        <v>335.53999999999996</v>
      </c>
      <c r="I46" s="15">
        <v>645.16999999999996</v>
      </c>
      <c r="J46" s="18">
        <f t="shared" si="9"/>
        <v>4.719969512195122E-2</v>
      </c>
      <c r="K46" s="18">
        <f t="shared" si="10"/>
        <v>5.1149390243902436E-2</v>
      </c>
      <c r="L46" s="18">
        <f t="shared" si="11"/>
        <v>9.8349085365853656E-2</v>
      </c>
    </row>
    <row r="47" spans="1:12" x14ac:dyDescent="0.25">
      <c r="B47" s="1" t="s">
        <v>28</v>
      </c>
      <c r="C47" s="1" t="s">
        <v>11</v>
      </c>
      <c r="D47" s="10">
        <f>'Electric Usage'!G29</f>
        <v>8160</v>
      </c>
      <c r="F47" s="15">
        <v>385.15</v>
      </c>
      <c r="G47" s="15">
        <f t="shared" si="12"/>
        <v>947.74000000000012</v>
      </c>
      <c r="I47" s="15">
        <v>1332.89</v>
      </c>
      <c r="J47" s="18">
        <f t="shared" si="9"/>
        <v>4.719975490196078E-2</v>
      </c>
      <c r="K47" s="18">
        <f t="shared" si="10"/>
        <v>0.11614460784313727</v>
      </c>
      <c r="L47" s="18">
        <f t="shared" si="11"/>
        <v>0.16334436274509806</v>
      </c>
    </row>
    <row r="48" spans="1:12" x14ac:dyDescent="0.25">
      <c r="B48" s="1" t="s">
        <v>29</v>
      </c>
      <c r="C48" s="1" t="s">
        <v>11</v>
      </c>
      <c r="D48" s="10">
        <f>'Electric Usage'!H29</f>
        <v>2880</v>
      </c>
      <c r="F48" s="15">
        <v>135.94</v>
      </c>
      <c r="G48" s="15">
        <f t="shared" si="12"/>
        <v>724.93000000000006</v>
      </c>
      <c r="I48" s="15">
        <v>860.87</v>
      </c>
      <c r="J48" s="18">
        <f t="shared" si="9"/>
        <v>4.720138888888889E-2</v>
      </c>
      <c r="K48" s="18">
        <f t="shared" si="10"/>
        <v>0.25171180555555556</v>
      </c>
      <c r="L48" s="18">
        <f t="shared" si="11"/>
        <v>0.29891319444444442</v>
      </c>
    </row>
    <row r="49" spans="1:12" x14ac:dyDescent="0.25">
      <c r="B49" s="1" t="s">
        <v>30</v>
      </c>
      <c r="C49" s="1" t="s">
        <v>11</v>
      </c>
      <c r="D49" s="10">
        <f>'Electric Usage'!I29</f>
        <v>2480</v>
      </c>
      <c r="F49" s="15">
        <v>117.06</v>
      </c>
      <c r="G49" s="15">
        <f t="shared" si="12"/>
        <v>183.29000000000002</v>
      </c>
      <c r="I49" s="15">
        <v>300.35000000000002</v>
      </c>
      <c r="J49" s="18">
        <f t="shared" si="9"/>
        <v>4.7201612903225811E-2</v>
      </c>
      <c r="K49" s="18">
        <f t="shared" si="10"/>
        <v>7.3907258064516132E-2</v>
      </c>
      <c r="L49" s="18">
        <f t="shared" si="11"/>
        <v>0.12110887096774195</v>
      </c>
    </row>
    <row r="50" spans="1:12" x14ac:dyDescent="0.25">
      <c r="B50" s="1" t="s">
        <v>31</v>
      </c>
      <c r="C50" s="1" t="s">
        <v>11</v>
      </c>
      <c r="D50" s="10">
        <f>'Electric Usage'!J29</f>
        <v>0</v>
      </c>
      <c r="F50" s="15">
        <v>0</v>
      </c>
      <c r="G50" s="15">
        <f t="shared" si="12"/>
        <v>0</v>
      </c>
      <c r="I50" s="15">
        <v>0</v>
      </c>
      <c r="J50" s="18" t="e">
        <f t="shared" si="9"/>
        <v>#DIV/0!</v>
      </c>
      <c r="K50" s="18" t="e">
        <f t="shared" si="10"/>
        <v>#DIV/0!</v>
      </c>
      <c r="L50" s="18" t="e">
        <f t="shared" si="11"/>
        <v>#DIV/0!</v>
      </c>
    </row>
    <row r="51" spans="1:12" x14ac:dyDescent="0.25">
      <c r="B51" s="1" t="s">
        <v>42</v>
      </c>
      <c r="C51" s="1" t="s">
        <v>11</v>
      </c>
      <c r="D51" s="10">
        <f>'Electric Usage'!K29</f>
        <v>0</v>
      </c>
      <c r="F51" s="15">
        <v>0</v>
      </c>
      <c r="G51" s="15">
        <f t="shared" si="12"/>
        <v>0</v>
      </c>
      <c r="I51" s="15">
        <v>0</v>
      </c>
      <c r="J51" s="18" t="e">
        <f t="shared" si="9"/>
        <v>#DIV/0!</v>
      </c>
      <c r="K51" s="18" t="e">
        <f t="shared" si="10"/>
        <v>#DIV/0!</v>
      </c>
      <c r="L51" s="18" t="e">
        <f t="shared" si="11"/>
        <v>#DIV/0!</v>
      </c>
    </row>
    <row r="52" spans="1:12" x14ac:dyDescent="0.25">
      <c r="B52" s="1" t="s">
        <v>33</v>
      </c>
      <c r="C52" s="1" t="s">
        <v>11</v>
      </c>
      <c r="D52" s="10">
        <f>'Electric Usage'!L29</f>
        <v>0</v>
      </c>
      <c r="F52" s="15">
        <v>0</v>
      </c>
      <c r="G52" s="15">
        <f t="shared" si="12"/>
        <v>0</v>
      </c>
      <c r="I52" s="15">
        <v>0</v>
      </c>
      <c r="J52" s="18" t="e">
        <f t="shared" si="9"/>
        <v>#DIV/0!</v>
      </c>
      <c r="K52" s="18" t="e">
        <f t="shared" si="10"/>
        <v>#DIV/0!</v>
      </c>
      <c r="L52" s="18" t="e">
        <f t="shared" si="11"/>
        <v>#DIV/0!</v>
      </c>
    </row>
    <row r="53" spans="1:12" x14ac:dyDescent="0.25">
      <c r="B53" s="1" t="s">
        <v>34</v>
      </c>
      <c r="C53" s="1" t="s">
        <v>11</v>
      </c>
      <c r="D53" s="10">
        <f>'Electric Usage'!M29</f>
        <v>0</v>
      </c>
      <c r="F53" s="15">
        <v>0</v>
      </c>
      <c r="G53" s="15">
        <f t="shared" si="12"/>
        <v>0</v>
      </c>
      <c r="I53" s="15">
        <v>0</v>
      </c>
      <c r="J53" s="18" t="e">
        <f t="shared" si="9"/>
        <v>#DIV/0!</v>
      </c>
      <c r="K53" s="18" t="e">
        <f t="shared" si="10"/>
        <v>#DIV/0!</v>
      </c>
      <c r="L53" s="18" t="e">
        <f t="shared" si="11"/>
        <v>#DIV/0!</v>
      </c>
    </row>
    <row r="54" spans="1:12" x14ac:dyDescent="0.25">
      <c r="B54" s="1" t="s">
        <v>35</v>
      </c>
      <c r="C54" s="1" t="s">
        <v>11</v>
      </c>
      <c r="D54" s="10">
        <f>'Electric Usage'!N29</f>
        <v>0</v>
      </c>
      <c r="F54" s="15">
        <v>0</v>
      </c>
      <c r="G54" s="15">
        <f t="shared" si="12"/>
        <v>0</v>
      </c>
      <c r="I54" s="15">
        <v>0</v>
      </c>
      <c r="J54" s="18" t="e">
        <f t="shared" si="9"/>
        <v>#DIV/0!</v>
      </c>
      <c r="K54" s="18" t="e">
        <f t="shared" si="10"/>
        <v>#DIV/0!</v>
      </c>
      <c r="L54" s="18" t="e">
        <f t="shared" si="11"/>
        <v>#DIV/0!</v>
      </c>
    </row>
    <row r="55" spans="1:12" x14ac:dyDescent="0.25">
      <c r="B55" s="1"/>
      <c r="C55" s="1"/>
      <c r="D55" s="10"/>
      <c r="F55" s="15"/>
      <c r="G55" s="15"/>
      <c r="I55" s="15"/>
      <c r="J55" s="18"/>
      <c r="K55" s="18"/>
    </row>
    <row r="56" spans="1:12" x14ac:dyDescent="0.25">
      <c r="B56" s="1"/>
      <c r="C56" s="2" t="s">
        <v>43</v>
      </c>
      <c r="D56" s="17">
        <f>SUM(D43:D54)</f>
        <v>117600</v>
      </c>
      <c r="F56" s="3">
        <f>SUM(F43:F54)</f>
        <v>5550.72</v>
      </c>
      <c r="G56" s="3">
        <f>SUM(G43:G54)</f>
        <v>5479.44</v>
      </c>
      <c r="I56" s="3">
        <f>SUM(I43:I54)</f>
        <v>11030.16</v>
      </c>
      <c r="J56" s="30">
        <f>F56/D56</f>
        <v>4.7199999999999999E-2</v>
      </c>
      <c r="K56" s="30">
        <f>G56/D56</f>
        <v>4.6593877551020402E-2</v>
      </c>
      <c r="L56" s="30">
        <f>I56/D56</f>
        <v>9.3793877551020408E-2</v>
      </c>
    </row>
    <row r="58" spans="1:12" x14ac:dyDescent="0.25">
      <c r="B58" s="2"/>
      <c r="C58" s="2"/>
      <c r="D58" s="2"/>
      <c r="F58" s="3" t="s">
        <v>20</v>
      </c>
      <c r="G58" s="3" t="s">
        <v>16</v>
      </c>
      <c r="I58" s="3" t="s">
        <v>18</v>
      </c>
      <c r="J58" s="30" t="s">
        <v>38</v>
      </c>
      <c r="K58" s="30" t="s">
        <v>17</v>
      </c>
      <c r="L58" s="37" t="s">
        <v>47</v>
      </c>
    </row>
    <row r="59" spans="1:12" x14ac:dyDescent="0.25">
      <c r="A59" s="38" t="s">
        <v>52</v>
      </c>
      <c r="B59" s="5" t="s">
        <v>15</v>
      </c>
      <c r="C59" s="5" t="s">
        <v>19</v>
      </c>
      <c r="D59" s="5" t="s">
        <v>20</v>
      </c>
      <c r="F59" s="6" t="s">
        <v>22</v>
      </c>
      <c r="G59" s="6" t="s">
        <v>22</v>
      </c>
      <c r="I59" s="6" t="s">
        <v>22</v>
      </c>
      <c r="J59" s="31" t="s">
        <v>39</v>
      </c>
      <c r="K59" s="31" t="s">
        <v>40</v>
      </c>
      <c r="L59" s="38" t="s">
        <v>39</v>
      </c>
    </row>
    <row r="60" spans="1:12" x14ac:dyDescent="0.25">
      <c r="B60" s="1"/>
      <c r="C60" s="1"/>
      <c r="D60" s="1"/>
      <c r="F60" s="15"/>
      <c r="G60" s="15"/>
      <c r="I60" s="15"/>
      <c r="J60" s="18"/>
      <c r="K60" s="18"/>
    </row>
    <row r="61" spans="1:12" x14ac:dyDescent="0.25">
      <c r="A61" s="26" t="s">
        <v>143</v>
      </c>
      <c r="B61" s="1" t="s">
        <v>24</v>
      </c>
      <c r="C61" s="1" t="s">
        <v>37</v>
      </c>
      <c r="D61" s="10">
        <f>'Electric Usage'!C38</f>
        <v>19933</v>
      </c>
      <c r="F61" s="15">
        <f>116.01+771.92</f>
        <v>887.93</v>
      </c>
      <c r="G61" s="15">
        <f>I61-F61</f>
        <v>1159.6399999999999</v>
      </c>
      <c r="I61" s="15">
        <v>2047.57</v>
      </c>
      <c r="J61" s="18">
        <f t="shared" ref="J61:J72" si="13">F61/D61</f>
        <v>4.4545728189434607E-2</v>
      </c>
      <c r="K61" s="18">
        <f t="shared" ref="K61:K72" si="14">G61/D61</f>
        <v>5.8176892590177089E-2</v>
      </c>
      <c r="L61" s="18">
        <f t="shared" ref="L61:L74" si="15">I61/D61</f>
        <v>0.1027226207796117</v>
      </c>
    </row>
    <row r="62" spans="1:12" x14ac:dyDescent="0.25">
      <c r="B62" s="1" t="s">
        <v>25</v>
      </c>
      <c r="C62" s="1" t="s">
        <v>37</v>
      </c>
      <c r="D62" s="10">
        <f>'Electric Usage'!D38</f>
        <v>17365</v>
      </c>
      <c r="F62" s="15">
        <f>97.73+660.33</f>
        <v>758.06000000000006</v>
      </c>
      <c r="G62" s="15">
        <f>I62-F62</f>
        <v>1162.3699999999999</v>
      </c>
      <c r="I62" s="15">
        <v>1920.43</v>
      </c>
      <c r="J62" s="18">
        <f t="shared" si="13"/>
        <v>4.365447739706306E-2</v>
      </c>
      <c r="K62" s="18">
        <f t="shared" si="14"/>
        <v>6.6937517995968893E-2</v>
      </c>
      <c r="L62" s="18">
        <f t="shared" si="15"/>
        <v>0.11059199539303197</v>
      </c>
    </row>
    <row r="63" spans="1:12" x14ac:dyDescent="0.25">
      <c r="B63" s="1" t="s">
        <v>26</v>
      </c>
      <c r="C63" s="1" t="s">
        <v>37</v>
      </c>
      <c r="D63" s="10">
        <f>'Electric Usage'!E38</f>
        <v>14409</v>
      </c>
      <c r="F63" s="15">
        <f>564.5+92.89</f>
        <v>657.39</v>
      </c>
      <c r="G63" s="15">
        <f t="shared" ref="G63:G72" si="16">I63-F63</f>
        <v>1095.1399999999999</v>
      </c>
      <c r="I63" s="15">
        <v>1752.53</v>
      </c>
      <c r="J63" s="18">
        <f t="shared" si="13"/>
        <v>4.5623568602956487E-2</v>
      </c>
      <c r="K63" s="18">
        <f t="shared" si="14"/>
        <v>7.6003886459851469E-2</v>
      </c>
      <c r="L63" s="18">
        <f t="shared" si="15"/>
        <v>0.12162745506280796</v>
      </c>
    </row>
    <row r="64" spans="1:12" x14ac:dyDescent="0.25">
      <c r="B64" s="1" t="s">
        <v>41</v>
      </c>
      <c r="C64" s="1" t="s">
        <v>37</v>
      </c>
      <c r="D64" s="10">
        <f>'Electric Usage'!F38</f>
        <v>13870</v>
      </c>
      <c r="F64" s="15">
        <f>104.22+529.97</f>
        <v>634.19000000000005</v>
      </c>
      <c r="G64" s="15">
        <f t="shared" si="16"/>
        <v>1071.53</v>
      </c>
      <c r="I64" s="15">
        <v>1705.72</v>
      </c>
      <c r="J64" s="18">
        <f t="shared" si="13"/>
        <v>4.57238644556597E-2</v>
      </c>
      <c r="K64" s="18">
        <f t="shared" si="14"/>
        <v>7.7255227108868063E-2</v>
      </c>
      <c r="L64" s="18">
        <f t="shared" si="15"/>
        <v>0.12297909156452776</v>
      </c>
    </row>
    <row r="65" spans="1:12" x14ac:dyDescent="0.25">
      <c r="B65" s="1" t="s">
        <v>28</v>
      </c>
      <c r="C65" s="1" t="s">
        <v>37</v>
      </c>
      <c r="D65" s="10">
        <f>'Electric Usage'!G38</f>
        <v>11064</v>
      </c>
      <c r="F65" s="15">
        <f>94.76+409.33</f>
        <v>504.09</v>
      </c>
      <c r="G65" s="15">
        <f t="shared" si="16"/>
        <v>982.02</v>
      </c>
      <c r="I65" s="15">
        <v>1486.11</v>
      </c>
      <c r="J65" s="18">
        <f t="shared" si="13"/>
        <v>4.5561279826464206E-2</v>
      </c>
      <c r="K65" s="18">
        <f t="shared" si="14"/>
        <v>8.8758134490238616E-2</v>
      </c>
      <c r="L65" s="18">
        <f t="shared" si="15"/>
        <v>0.1343194143167028</v>
      </c>
    </row>
    <row r="66" spans="1:12" x14ac:dyDescent="0.25">
      <c r="B66" s="1" t="s">
        <v>29</v>
      </c>
      <c r="C66" s="1" t="s">
        <v>37</v>
      </c>
      <c r="D66" s="10">
        <f>'Electric Usage'!H38</f>
        <v>9546</v>
      </c>
      <c r="F66" s="15">
        <f>66.14+367.34</f>
        <v>433.47999999999996</v>
      </c>
      <c r="G66" s="15">
        <f t="shared" si="16"/>
        <v>930.28</v>
      </c>
      <c r="I66" s="15">
        <v>1363.76</v>
      </c>
      <c r="J66" s="18">
        <f t="shared" si="13"/>
        <v>4.5409595642153779E-2</v>
      </c>
      <c r="K66" s="18">
        <f t="shared" si="14"/>
        <v>9.7452336056987221E-2</v>
      </c>
      <c r="L66" s="18">
        <f t="shared" si="15"/>
        <v>0.14286193169914099</v>
      </c>
    </row>
    <row r="67" spans="1:12" x14ac:dyDescent="0.25">
      <c r="B67" s="1" t="s">
        <v>30</v>
      </c>
      <c r="C67" s="1" t="s">
        <v>37</v>
      </c>
      <c r="D67" s="10">
        <f>'Electric Usage'!I38</f>
        <v>7948</v>
      </c>
      <c r="F67" s="15">
        <f>50.27+306.89</f>
        <v>357.15999999999997</v>
      </c>
      <c r="G67" s="15">
        <f t="shared" si="16"/>
        <v>908.22000000000014</v>
      </c>
      <c r="I67" s="15">
        <v>1265.3800000000001</v>
      </c>
      <c r="J67" s="18">
        <f t="shared" si="13"/>
        <v>4.493709109209864E-2</v>
      </c>
      <c r="K67" s="18">
        <f t="shared" si="14"/>
        <v>0.11427025666834426</v>
      </c>
      <c r="L67" s="18">
        <f t="shared" si="15"/>
        <v>0.1592073477604429</v>
      </c>
    </row>
    <row r="68" spans="1:12" x14ac:dyDescent="0.25">
      <c r="B68" s="1" t="s">
        <v>31</v>
      </c>
      <c r="C68" s="1" t="s">
        <v>37</v>
      </c>
      <c r="D68" s="10">
        <f>'Electric Usage'!J38</f>
        <v>0</v>
      </c>
      <c r="F68" s="15">
        <v>0</v>
      </c>
      <c r="G68" s="15">
        <f t="shared" si="16"/>
        <v>0</v>
      </c>
      <c r="I68" s="15">
        <v>0</v>
      </c>
      <c r="J68" s="18" t="e">
        <f t="shared" si="13"/>
        <v>#DIV/0!</v>
      </c>
      <c r="K68" s="18" t="e">
        <f t="shared" si="14"/>
        <v>#DIV/0!</v>
      </c>
      <c r="L68" s="18" t="e">
        <f t="shared" si="15"/>
        <v>#DIV/0!</v>
      </c>
    </row>
    <row r="69" spans="1:12" x14ac:dyDescent="0.25">
      <c r="B69" s="1" t="s">
        <v>42</v>
      </c>
      <c r="C69" s="1" t="s">
        <v>37</v>
      </c>
      <c r="D69" s="10">
        <f>'Electric Usage'!K38</f>
        <v>0</v>
      </c>
      <c r="F69" s="15">
        <v>0</v>
      </c>
      <c r="G69" s="15">
        <f t="shared" si="16"/>
        <v>0</v>
      </c>
      <c r="I69" s="15">
        <v>0</v>
      </c>
      <c r="J69" s="18" t="e">
        <f t="shared" si="13"/>
        <v>#DIV/0!</v>
      </c>
      <c r="K69" s="18" t="e">
        <f t="shared" si="14"/>
        <v>#DIV/0!</v>
      </c>
      <c r="L69" s="18" t="e">
        <f>I69/D69</f>
        <v>#DIV/0!</v>
      </c>
    </row>
    <row r="70" spans="1:12" x14ac:dyDescent="0.25">
      <c r="B70" s="1" t="s">
        <v>33</v>
      </c>
      <c r="C70" s="1" t="s">
        <v>37</v>
      </c>
      <c r="D70" s="10">
        <f>'Electric Usage'!L38</f>
        <v>0</v>
      </c>
      <c r="F70" s="15">
        <v>0</v>
      </c>
      <c r="G70" s="15">
        <f t="shared" si="16"/>
        <v>0</v>
      </c>
      <c r="I70" s="15">
        <v>0</v>
      </c>
      <c r="J70" s="18" t="e">
        <f t="shared" si="13"/>
        <v>#DIV/0!</v>
      </c>
      <c r="K70" s="18" t="e">
        <f t="shared" si="14"/>
        <v>#DIV/0!</v>
      </c>
      <c r="L70" s="18" t="e">
        <f t="shared" si="15"/>
        <v>#DIV/0!</v>
      </c>
    </row>
    <row r="71" spans="1:12" x14ac:dyDescent="0.25">
      <c r="B71" s="1" t="s">
        <v>34</v>
      </c>
      <c r="C71" s="1" t="s">
        <v>37</v>
      </c>
      <c r="D71" s="10">
        <f>'Electric Usage'!M38</f>
        <v>0</v>
      </c>
      <c r="F71" s="15">
        <v>0</v>
      </c>
      <c r="G71" s="15">
        <f t="shared" si="16"/>
        <v>0</v>
      </c>
      <c r="I71" s="15">
        <v>0</v>
      </c>
      <c r="J71" s="18" t="e">
        <f t="shared" si="13"/>
        <v>#DIV/0!</v>
      </c>
      <c r="K71" s="18" t="e">
        <f t="shared" si="14"/>
        <v>#DIV/0!</v>
      </c>
      <c r="L71" s="18" t="e">
        <f t="shared" si="15"/>
        <v>#DIV/0!</v>
      </c>
    </row>
    <row r="72" spans="1:12" x14ac:dyDescent="0.25">
      <c r="B72" s="1" t="s">
        <v>35</v>
      </c>
      <c r="C72" s="1" t="s">
        <v>37</v>
      </c>
      <c r="D72" s="10">
        <f>'Electric Usage'!N38</f>
        <v>0</v>
      </c>
      <c r="F72" s="15">
        <v>0</v>
      </c>
      <c r="G72" s="15">
        <f t="shared" si="16"/>
        <v>0</v>
      </c>
      <c r="I72" s="15">
        <v>0</v>
      </c>
      <c r="J72" s="18" t="e">
        <f t="shared" si="13"/>
        <v>#DIV/0!</v>
      </c>
      <c r="K72" s="18" t="e">
        <f t="shared" si="14"/>
        <v>#DIV/0!</v>
      </c>
      <c r="L72" s="18" t="e">
        <f t="shared" si="15"/>
        <v>#DIV/0!</v>
      </c>
    </row>
    <row r="73" spans="1:12" x14ac:dyDescent="0.25">
      <c r="B73" s="1"/>
      <c r="C73" s="1"/>
      <c r="D73" s="10"/>
      <c r="F73" s="15"/>
      <c r="G73" s="15"/>
      <c r="I73" s="15"/>
      <c r="J73" s="18"/>
      <c r="K73" s="18"/>
    </row>
    <row r="74" spans="1:12" x14ac:dyDescent="0.25">
      <c r="B74" s="1"/>
      <c r="C74" s="2" t="s">
        <v>43</v>
      </c>
      <c r="D74" s="17">
        <f>SUM(D61:D72)</f>
        <v>94135</v>
      </c>
      <c r="F74" s="3">
        <f>SUM(F61:F72)</f>
        <v>4232.3</v>
      </c>
      <c r="G74" s="3">
        <f>SUM(G61:G72)</f>
        <v>7309.1999999999989</v>
      </c>
      <c r="I74" s="3">
        <f>SUM(I61:I72)</f>
        <v>11541.5</v>
      </c>
      <c r="J74" s="30">
        <f>F74/D74</f>
        <v>4.4959898018802784E-2</v>
      </c>
      <c r="K74" s="30">
        <f>G74/D74</f>
        <v>7.7645934030913036E-2</v>
      </c>
      <c r="L74" s="30">
        <f t="shared" si="15"/>
        <v>0.12260583204971584</v>
      </c>
    </row>
    <row r="76" spans="1:12" x14ac:dyDescent="0.25">
      <c r="B76" s="2"/>
      <c r="C76" s="2"/>
      <c r="D76" s="2"/>
      <c r="F76" s="3" t="s">
        <v>20</v>
      </c>
      <c r="G76" s="3" t="s">
        <v>16</v>
      </c>
      <c r="I76" s="3" t="s">
        <v>18</v>
      </c>
      <c r="J76" s="30" t="s">
        <v>38</v>
      </c>
      <c r="K76" s="30" t="s">
        <v>17</v>
      </c>
      <c r="L76" s="37" t="s">
        <v>47</v>
      </c>
    </row>
    <row r="77" spans="1:12" x14ac:dyDescent="0.25">
      <c r="A77" s="38" t="s">
        <v>52</v>
      </c>
      <c r="B77" s="5" t="s">
        <v>15</v>
      </c>
      <c r="C77" s="5" t="s">
        <v>19</v>
      </c>
      <c r="D77" s="5" t="s">
        <v>20</v>
      </c>
      <c r="F77" s="6" t="s">
        <v>22</v>
      </c>
      <c r="G77" s="6" t="s">
        <v>22</v>
      </c>
      <c r="I77" s="6" t="s">
        <v>22</v>
      </c>
      <c r="J77" s="31" t="s">
        <v>39</v>
      </c>
      <c r="K77" s="31" t="s">
        <v>40</v>
      </c>
      <c r="L77" s="38" t="s">
        <v>39</v>
      </c>
    </row>
    <row r="78" spans="1:12" x14ac:dyDescent="0.25">
      <c r="B78" s="1"/>
      <c r="C78" s="1"/>
      <c r="D78" s="1"/>
      <c r="F78" s="15"/>
      <c r="G78" s="15"/>
      <c r="I78" s="15"/>
      <c r="J78" s="18"/>
      <c r="K78" s="18"/>
    </row>
    <row r="79" spans="1:12" x14ac:dyDescent="0.25">
      <c r="A79" s="26" t="s">
        <v>144</v>
      </c>
      <c r="B79" s="1" t="s">
        <v>24</v>
      </c>
      <c r="C79" s="1" t="s">
        <v>12</v>
      </c>
      <c r="D79" s="10">
        <f>'Electric Usage'!C47</f>
        <v>1957</v>
      </c>
      <c r="F79" s="15">
        <v>92.37</v>
      </c>
      <c r="G79" s="15">
        <f t="shared" ref="G79:G90" si="17">I79-F79</f>
        <v>80.59</v>
      </c>
      <c r="I79" s="15">
        <v>172.96</v>
      </c>
      <c r="J79" s="18">
        <f t="shared" ref="J79:J90" si="18">F79/D79</f>
        <v>4.7199795605518652E-2</v>
      </c>
      <c r="K79" s="18">
        <f t="shared" ref="K79:K90" si="19">G79/D79</f>
        <v>4.1180378129790494E-2</v>
      </c>
      <c r="L79" s="18">
        <f t="shared" ref="L79:L92" si="20">I79/D79</f>
        <v>8.8380173735309153E-2</v>
      </c>
    </row>
    <row r="80" spans="1:12" x14ac:dyDescent="0.25">
      <c r="B80" s="1" t="s">
        <v>25</v>
      </c>
      <c r="C80" s="1" t="s">
        <v>12</v>
      </c>
      <c r="D80" s="10">
        <f>'Electric Usage'!D47</f>
        <v>1716</v>
      </c>
      <c r="F80" s="15">
        <v>81</v>
      </c>
      <c r="G80" s="15">
        <f t="shared" si="17"/>
        <v>248.56</v>
      </c>
      <c r="I80" s="15">
        <v>329.56</v>
      </c>
      <c r="J80" s="18">
        <f t="shared" si="18"/>
        <v>4.72027972027972E-2</v>
      </c>
      <c r="K80" s="18">
        <f t="shared" si="19"/>
        <v>0.14484848484848484</v>
      </c>
      <c r="L80" s="18">
        <f t="shared" si="20"/>
        <v>0.19205128205128205</v>
      </c>
    </row>
    <row r="81" spans="1:12" x14ac:dyDescent="0.25">
      <c r="B81" s="1" t="s">
        <v>26</v>
      </c>
      <c r="C81" s="1" t="s">
        <v>12</v>
      </c>
      <c r="D81" s="10">
        <f>'Electric Usage'!E47</f>
        <v>1423</v>
      </c>
      <c r="F81" s="15">
        <v>67.17</v>
      </c>
      <c r="G81" s="15">
        <f t="shared" si="17"/>
        <v>67.790000000000006</v>
      </c>
      <c r="I81" s="15">
        <v>134.96</v>
      </c>
      <c r="J81" s="18">
        <f t="shared" si="18"/>
        <v>4.720309205903022E-2</v>
      </c>
      <c r="K81" s="18">
        <f t="shared" si="19"/>
        <v>4.7638791286015468E-2</v>
      </c>
      <c r="L81" s="18">
        <f t="shared" si="20"/>
        <v>9.4841883345045688E-2</v>
      </c>
    </row>
    <row r="82" spans="1:12" x14ac:dyDescent="0.25">
      <c r="B82" s="1" t="s">
        <v>41</v>
      </c>
      <c r="C82" s="1" t="s">
        <v>12</v>
      </c>
      <c r="D82" s="10">
        <f>'Electric Usage'!F47</f>
        <v>1221</v>
      </c>
      <c r="F82" s="15">
        <v>57.63</v>
      </c>
      <c r="G82" s="15">
        <f t="shared" si="17"/>
        <v>69.919999999999987</v>
      </c>
      <c r="I82" s="15">
        <v>127.55</v>
      </c>
      <c r="J82" s="18">
        <f t="shared" si="18"/>
        <v>4.7199017199017201E-2</v>
      </c>
      <c r="K82" s="18">
        <f t="shared" si="19"/>
        <v>5.7264537264537257E-2</v>
      </c>
      <c r="L82" s="18">
        <f t="shared" si="20"/>
        <v>0.10446355446355446</v>
      </c>
    </row>
    <row r="83" spans="1:12" x14ac:dyDescent="0.25">
      <c r="B83" s="1" t="s">
        <v>28</v>
      </c>
      <c r="C83" s="1" t="s">
        <v>12</v>
      </c>
      <c r="D83" s="10">
        <f>'Electric Usage'!G47</f>
        <v>791</v>
      </c>
      <c r="F83" s="15">
        <v>37.340000000000003</v>
      </c>
      <c r="G83" s="15">
        <f t="shared" si="17"/>
        <v>56.61999999999999</v>
      </c>
      <c r="I83" s="15">
        <v>93.96</v>
      </c>
      <c r="J83" s="18">
        <f t="shared" si="18"/>
        <v>4.7206068268015176E-2</v>
      </c>
      <c r="K83" s="18">
        <f t="shared" si="19"/>
        <v>7.1580278128950681E-2</v>
      </c>
      <c r="L83" s="18">
        <f t="shared" si="20"/>
        <v>0.11878634639696586</v>
      </c>
    </row>
    <row r="84" spans="1:12" x14ac:dyDescent="0.25">
      <c r="B84" s="1" t="s">
        <v>29</v>
      </c>
      <c r="C84" s="1" t="s">
        <v>12</v>
      </c>
      <c r="D84" s="10">
        <f>'Electric Usage'!H47</f>
        <v>327</v>
      </c>
      <c r="F84" s="15">
        <v>15.43</v>
      </c>
      <c r="G84" s="15">
        <f t="shared" si="17"/>
        <v>32.049999999999997</v>
      </c>
      <c r="I84" s="15">
        <v>47.48</v>
      </c>
      <c r="J84" s="18">
        <f t="shared" si="18"/>
        <v>4.7186544342507644E-2</v>
      </c>
      <c r="K84" s="18">
        <f t="shared" si="19"/>
        <v>9.8012232415902137E-2</v>
      </c>
      <c r="L84" s="18">
        <f t="shared" si="20"/>
        <v>0.14519877675840978</v>
      </c>
    </row>
    <row r="85" spans="1:12" x14ac:dyDescent="0.25">
      <c r="B85" s="1" t="s">
        <v>30</v>
      </c>
      <c r="C85" s="1" t="s">
        <v>12</v>
      </c>
      <c r="D85" s="10">
        <f>'Electric Usage'!I47</f>
        <v>306</v>
      </c>
      <c r="F85" s="15">
        <v>14.44</v>
      </c>
      <c r="G85" s="15">
        <f t="shared" si="17"/>
        <v>41.56</v>
      </c>
      <c r="I85" s="15">
        <v>56</v>
      </c>
      <c r="J85" s="18">
        <f t="shared" si="18"/>
        <v>4.7189542483660127E-2</v>
      </c>
      <c r="K85" s="18">
        <f t="shared" si="19"/>
        <v>0.13581699346405229</v>
      </c>
      <c r="L85" s="18">
        <f t="shared" si="20"/>
        <v>0.18300653594771241</v>
      </c>
    </row>
    <row r="86" spans="1:12" x14ac:dyDescent="0.25">
      <c r="B86" s="1" t="s">
        <v>31</v>
      </c>
      <c r="C86" s="1" t="s">
        <v>12</v>
      </c>
      <c r="D86" s="10">
        <f>'Electric Usage'!J47</f>
        <v>0</v>
      </c>
      <c r="F86" s="15">
        <v>0</v>
      </c>
      <c r="G86" s="15">
        <f t="shared" si="17"/>
        <v>0</v>
      </c>
      <c r="I86" s="15">
        <v>0</v>
      </c>
      <c r="J86" s="18" t="e">
        <f t="shared" si="18"/>
        <v>#DIV/0!</v>
      </c>
      <c r="K86" s="18" t="e">
        <f t="shared" si="19"/>
        <v>#DIV/0!</v>
      </c>
      <c r="L86" s="18" t="e">
        <f t="shared" si="20"/>
        <v>#DIV/0!</v>
      </c>
    </row>
    <row r="87" spans="1:12" x14ac:dyDescent="0.25">
      <c r="B87" s="1" t="s">
        <v>42</v>
      </c>
      <c r="C87" s="1" t="s">
        <v>12</v>
      </c>
      <c r="D87" s="10">
        <f>'Electric Usage'!K47</f>
        <v>0</v>
      </c>
      <c r="F87" s="15">
        <v>0</v>
      </c>
      <c r="G87" s="15">
        <f t="shared" si="17"/>
        <v>0</v>
      </c>
      <c r="I87" s="15">
        <v>0</v>
      </c>
      <c r="J87" s="18" t="e">
        <f t="shared" si="18"/>
        <v>#DIV/0!</v>
      </c>
      <c r="K87" s="18" t="e">
        <f t="shared" si="19"/>
        <v>#DIV/0!</v>
      </c>
      <c r="L87" s="18" t="e">
        <f t="shared" si="20"/>
        <v>#DIV/0!</v>
      </c>
    </row>
    <row r="88" spans="1:12" x14ac:dyDescent="0.25">
      <c r="B88" s="1" t="s">
        <v>33</v>
      </c>
      <c r="C88" s="1" t="s">
        <v>12</v>
      </c>
      <c r="D88" s="10">
        <f>'Electric Usage'!L47</f>
        <v>0</v>
      </c>
      <c r="F88" s="15">
        <v>0</v>
      </c>
      <c r="G88" s="15">
        <f t="shared" si="17"/>
        <v>0</v>
      </c>
      <c r="I88" s="15">
        <v>0</v>
      </c>
      <c r="J88" s="18" t="e">
        <f t="shared" si="18"/>
        <v>#DIV/0!</v>
      </c>
      <c r="K88" s="18" t="e">
        <f t="shared" si="19"/>
        <v>#DIV/0!</v>
      </c>
      <c r="L88" s="18" t="e">
        <f t="shared" si="20"/>
        <v>#DIV/0!</v>
      </c>
    </row>
    <row r="89" spans="1:12" x14ac:dyDescent="0.25">
      <c r="B89" s="1" t="s">
        <v>34</v>
      </c>
      <c r="C89" s="1" t="s">
        <v>12</v>
      </c>
      <c r="D89" s="10">
        <f>'Electric Usage'!M47</f>
        <v>0</v>
      </c>
      <c r="F89" s="15">
        <v>0</v>
      </c>
      <c r="G89" s="15">
        <f t="shared" si="17"/>
        <v>0</v>
      </c>
      <c r="H89" t="s">
        <v>14</v>
      </c>
      <c r="I89" s="15">
        <v>0</v>
      </c>
      <c r="J89" s="18" t="e">
        <f t="shared" si="18"/>
        <v>#DIV/0!</v>
      </c>
      <c r="K89" s="18" t="e">
        <f t="shared" si="19"/>
        <v>#DIV/0!</v>
      </c>
      <c r="L89" s="18" t="e">
        <f t="shared" si="20"/>
        <v>#DIV/0!</v>
      </c>
    </row>
    <row r="90" spans="1:12" x14ac:dyDescent="0.25">
      <c r="B90" s="1" t="s">
        <v>35</v>
      </c>
      <c r="C90" s="1" t="s">
        <v>12</v>
      </c>
      <c r="D90" s="10">
        <f>'Electric Usage'!N47</f>
        <v>0</v>
      </c>
      <c r="F90" s="15">
        <v>0</v>
      </c>
      <c r="G90" s="15">
        <f t="shared" si="17"/>
        <v>0</v>
      </c>
      <c r="H90" t="s">
        <v>14</v>
      </c>
      <c r="I90" s="15">
        <v>0</v>
      </c>
      <c r="J90" s="18" t="e">
        <f t="shared" si="18"/>
        <v>#DIV/0!</v>
      </c>
      <c r="K90" s="18" t="e">
        <f t="shared" si="19"/>
        <v>#DIV/0!</v>
      </c>
      <c r="L90" s="18" t="e">
        <f t="shared" si="20"/>
        <v>#DIV/0!</v>
      </c>
    </row>
    <row r="91" spans="1:12" x14ac:dyDescent="0.25">
      <c r="B91" s="1"/>
      <c r="C91" s="1"/>
      <c r="D91" s="10"/>
      <c r="F91" s="15"/>
      <c r="G91" s="15"/>
      <c r="I91" s="15"/>
      <c r="J91" s="18"/>
      <c r="K91" s="18"/>
    </row>
    <row r="92" spans="1:12" x14ac:dyDescent="0.25">
      <c r="B92" s="1"/>
      <c r="C92" s="2" t="s">
        <v>43</v>
      </c>
      <c r="D92" s="17">
        <f>SUM(D79:D90)</f>
        <v>7741</v>
      </c>
      <c r="F92" s="3">
        <f>SUM(F79:F90)</f>
        <v>365.38</v>
      </c>
      <c r="G92" s="3">
        <f>SUM(G79:G90)</f>
        <v>597.08999999999992</v>
      </c>
      <c r="I92" s="3">
        <f>SUM(I79:I90)</f>
        <v>962.47</v>
      </c>
      <c r="J92" s="30">
        <f>F92/D92</f>
        <v>4.7200620074925717E-2</v>
      </c>
      <c r="K92" s="30">
        <f>G92/D92</f>
        <v>7.7133445291306016E-2</v>
      </c>
      <c r="L92" s="30">
        <f t="shared" si="20"/>
        <v>0.12433406536623176</v>
      </c>
    </row>
    <row r="94" spans="1:12" x14ac:dyDescent="0.25">
      <c r="B94" s="2"/>
      <c r="C94" s="2"/>
      <c r="D94" s="2"/>
      <c r="F94" s="3" t="s">
        <v>20</v>
      </c>
      <c r="G94" s="3" t="s">
        <v>16</v>
      </c>
      <c r="I94" s="3" t="s">
        <v>18</v>
      </c>
      <c r="J94" s="30" t="s">
        <v>38</v>
      </c>
      <c r="K94" s="30" t="s">
        <v>17</v>
      </c>
      <c r="L94" s="37" t="s">
        <v>47</v>
      </c>
    </row>
    <row r="95" spans="1:12" x14ac:dyDescent="0.25">
      <c r="A95" s="38" t="s">
        <v>52</v>
      </c>
      <c r="B95" s="5" t="s">
        <v>15</v>
      </c>
      <c r="C95" s="5" t="s">
        <v>19</v>
      </c>
      <c r="D95" s="5" t="s">
        <v>20</v>
      </c>
      <c r="F95" s="6" t="s">
        <v>22</v>
      </c>
      <c r="G95" s="6" t="s">
        <v>22</v>
      </c>
      <c r="I95" s="6" t="s">
        <v>22</v>
      </c>
      <c r="J95" s="31" t="s">
        <v>39</v>
      </c>
      <c r="K95" s="31" t="s">
        <v>40</v>
      </c>
      <c r="L95" s="38" t="s">
        <v>39</v>
      </c>
    </row>
    <row r="96" spans="1:12" x14ac:dyDescent="0.25">
      <c r="B96" s="1"/>
      <c r="C96" s="1"/>
      <c r="D96" s="1"/>
      <c r="F96" s="15"/>
      <c r="G96" s="15"/>
      <c r="I96" s="15"/>
      <c r="J96" s="18"/>
      <c r="K96" s="18"/>
    </row>
    <row r="97" spans="1:12" x14ac:dyDescent="0.25">
      <c r="A97" s="26" t="s">
        <v>162</v>
      </c>
      <c r="B97" s="1" t="s">
        <v>24</v>
      </c>
      <c r="C97" s="1" t="s">
        <v>10</v>
      </c>
      <c r="D97" s="10">
        <f>'Electric Usage'!C56</f>
        <v>33</v>
      </c>
      <c r="F97" s="15">
        <f>0.5+0.2+0.04</f>
        <v>0.74</v>
      </c>
      <c r="G97" s="15">
        <f t="shared" ref="G97:G108" si="21">I97-F97</f>
        <v>60.07</v>
      </c>
      <c r="I97" s="15">
        <v>60.81</v>
      </c>
      <c r="J97" s="18">
        <f t="shared" ref="J97:J108" si="22">F97/D97</f>
        <v>2.2424242424242423E-2</v>
      </c>
      <c r="K97" s="18">
        <f t="shared" ref="K97:K108" si="23">G97/D97</f>
        <v>1.8203030303030303</v>
      </c>
      <c r="L97" s="18">
        <f t="shared" ref="L97:L110" si="24">I97/D97</f>
        <v>1.8427272727272728</v>
      </c>
    </row>
    <row r="98" spans="1:12" x14ac:dyDescent="0.25">
      <c r="B98" s="1" t="s">
        <v>25</v>
      </c>
      <c r="C98" s="1" t="s">
        <v>10</v>
      </c>
      <c r="D98" s="10">
        <f>'Electric Usage'!D56</f>
        <v>28</v>
      </c>
      <c r="F98" s="15">
        <v>1.38</v>
      </c>
      <c r="G98" s="15">
        <f t="shared" si="21"/>
        <v>60.099999999999994</v>
      </c>
      <c r="I98" s="15">
        <v>61.48</v>
      </c>
      <c r="J98" s="18">
        <f t="shared" si="22"/>
        <v>4.928571428571428E-2</v>
      </c>
      <c r="K98" s="18">
        <f t="shared" si="23"/>
        <v>2.1464285714285714</v>
      </c>
      <c r="L98" s="18">
        <f t="shared" si="24"/>
        <v>2.1957142857142857</v>
      </c>
    </row>
    <row r="99" spans="1:12" x14ac:dyDescent="0.25">
      <c r="B99" s="1" t="s">
        <v>26</v>
      </c>
      <c r="C99" s="1" t="s">
        <v>10</v>
      </c>
      <c r="D99" s="10">
        <f>'Electric Usage'!E56</f>
        <v>27</v>
      </c>
      <c r="F99" s="15">
        <v>1.32</v>
      </c>
      <c r="G99" s="15">
        <f t="shared" si="21"/>
        <v>62.38</v>
      </c>
      <c r="I99" s="15">
        <v>63.7</v>
      </c>
      <c r="J99" s="18">
        <f t="shared" si="22"/>
        <v>4.8888888888888891E-2</v>
      </c>
      <c r="K99" s="18">
        <f t="shared" si="23"/>
        <v>2.3103703703703706</v>
      </c>
      <c r="L99" s="18">
        <f t="shared" si="24"/>
        <v>2.3592592592592592</v>
      </c>
    </row>
    <row r="100" spans="1:12" x14ac:dyDescent="0.25">
      <c r="B100" s="1" t="s">
        <v>41</v>
      </c>
      <c r="C100" s="1" t="s">
        <v>10</v>
      </c>
      <c r="D100" s="10">
        <f>'Electric Usage'!F56</f>
        <v>30</v>
      </c>
      <c r="F100" s="15">
        <v>1.51</v>
      </c>
      <c r="G100" s="15">
        <f t="shared" si="21"/>
        <v>64.489999999999995</v>
      </c>
      <c r="I100" s="15">
        <v>66</v>
      </c>
      <c r="J100" s="18">
        <f t="shared" si="22"/>
        <v>5.0333333333333334E-2</v>
      </c>
      <c r="K100" s="18">
        <f t="shared" si="23"/>
        <v>2.1496666666666666</v>
      </c>
      <c r="L100" s="18">
        <f t="shared" si="24"/>
        <v>2.2000000000000002</v>
      </c>
    </row>
    <row r="101" spans="1:12" x14ac:dyDescent="0.25">
      <c r="B101" s="1" t="s">
        <v>28</v>
      </c>
      <c r="C101" s="1" t="s">
        <v>10</v>
      </c>
      <c r="D101" s="10">
        <f>'Electric Usage'!G56</f>
        <v>28</v>
      </c>
      <c r="F101" s="15">
        <v>1.42</v>
      </c>
      <c r="G101" s="15">
        <f t="shared" si="21"/>
        <v>65.22</v>
      </c>
      <c r="I101" s="15">
        <v>66.64</v>
      </c>
      <c r="J101" s="18">
        <f t="shared" si="22"/>
        <v>5.0714285714285712E-2</v>
      </c>
      <c r="K101" s="18">
        <f t="shared" si="23"/>
        <v>2.3292857142857142</v>
      </c>
      <c r="L101" s="18">
        <f>I101/D101</f>
        <v>2.38</v>
      </c>
    </row>
    <row r="102" spans="1:12" x14ac:dyDescent="0.25">
      <c r="B102" s="1" t="s">
        <v>29</v>
      </c>
      <c r="C102" s="1" t="s">
        <v>10</v>
      </c>
      <c r="D102" s="10">
        <f>'Electric Usage'!H56</f>
        <v>28</v>
      </c>
      <c r="F102" s="15">
        <v>1.47</v>
      </c>
      <c r="G102" s="15">
        <f t="shared" si="21"/>
        <v>65.430000000000007</v>
      </c>
      <c r="I102" s="15">
        <v>66.900000000000006</v>
      </c>
      <c r="J102" s="18">
        <f t="shared" si="22"/>
        <v>5.2499999999999998E-2</v>
      </c>
      <c r="K102" s="18">
        <f t="shared" si="23"/>
        <v>2.3367857142857145</v>
      </c>
      <c r="L102" s="18">
        <f t="shared" si="24"/>
        <v>2.3892857142857147</v>
      </c>
    </row>
    <row r="103" spans="1:12" x14ac:dyDescent="0.25">
      <c r="B103" s="1" t="s">
        <v>30</v>
      </c>
      <c r="C103" s="1" t="s">
        <v>10</v>
      </c>
      <c r="D103" s="10">
        <f>'Electric Usage'!I56</f>
        <v>25</v>
      </c>
      <c r="F103" s="15">
        <v>1.33</v>
      </c>
      <c r="G103" s="15">
        <f t="shared" si="21"/>
        <v>65.930000000000007</v>
      </c>
      <c r="I103" s="15">
        <v>67.260000000000005</v>
      </c>
      <c r="J103" s="18">
        <f t="shared" si="22"/>
        <v>5.3200000000000004E-2</v>
      </c>
      <c r="K103" s="18">
        <f t="shared" si="23"/>
        <v>2.6372000000000004</v>
      </c>
      <c r="L103" s="18">
        <f t="shared" si="24"/>
        <v>2.6904000000000003</v>
      </c>
    </row>
    <row r="104" spans="1:12" x14ac:dyDescent="0.25">
      <c r="B104" s="1" t="s">
        <v>31</v>
      </c>
      <c r="C104" s="1" t="s">
        <v>10</v>
      </c>
      <c r="D104" s="10">
        <f>'Electric Usage'!J56</f>
        <v>0</v>
      </c>
      <c r="F104" s="15">
        <v>0</v>
      </c>
      <c r="G104" s="15">
        <f t="shared" si="21"/>
        <v>0</v>
      </c>
      <c r="I104" s="15">
        <v>0</v>
      </c>
      <c r="J104" s="18" t="e">
        <f t="shared" si="22"/>
        <v>#DIV/0!</v>
      </c>
      <c r="K104" s="18" t="e">
        <f t="shared" si="23"/>
        <v>#DIV/0!</v>
      </c>
      <c r="L104" s="18" t="e">
        <f t="shared" si="24"/>
        <v>#DIV/0!</v>
      </c>
    </row>
    <row r="105" spans="1:12" x14ac:dyDescent="0.25">
      <c r="B105" s="1" t="s">
        <v>42</v>
      </c>
      <c r="C105" s="1" t="s">
        <v>10</v>
      </c>
      <c r="D105" s="10">
        <f>'Electric Usage'!K56</f>
        <v>0</v>
      </c>
      <c r="F105" s="15">
        <v>0</v>
      </c>
      <c r="G105" s="15">
        <f t="shared" si="21"/>
        <v>0</v>
      </c>
      <c r="I105" s="15">
        <v>0</v>
      </c>
      <c r="J105" s="18" t="e">
        <f t="shared" si="22"/>
        <v>#DIV/0!</v>
      </c>
      <c r="K105" s="18" t="e">
        <f t="shared" si="23"/>
        <v>#DIV/0!</v>
      </c>
      <c r="L105" s="18" t="e">
        <f t="shared" si="24"/>
        <v>#DIV/0!</v>
      </c>
    </row>
    <row r="106" spans="1:12" x14ac:dyDescent="0.25">
      <c r="B106" s="1" t="s">
        <v>33</v>
      </c>
      <c r="C106" s="1" t="s">
        <v>10</v>
      </c>
      <c r="D106" s="10">
        <f>'Electric Usage'!L56</f>
        <v>0</v>
      </c>
      <c r="F106" s="15">
        <v>0</v>
      </c>
      <c r="G106" s="15">
        <f t="shared" si="21"/>
        <v>0</v>
      </c>
      <c r="I106" s="15">
        <v>0</v>
      </c>
      <c r="J106" s="18" t="e">
        <f t="shared" si="22"/>
        <v>#DIV/0!</v>
      </c>
      <c r="K106" s="18" t="e">
        <f t="shared" si="23"/>
        <v>#DIV/0!</v>
      </c>
      <c r="L106" s="18" t="e">
        <f t="shared" si="24"/>
        <v>#DIV/0!</v>
      </c>
    </row>
    <row r="107" spans="1:12" x14ac:dyDescent="0.25">
      <c r="B107" s="1" t="s">
        <v>34</v>
      </c>
      <c r="C107" s="1" t="s">
        <v>10</v>
      </c>
      <c r="D107" s="10">
        <f>'Electric Usage'!M56</f>
        <v>0</v>
      </c>
      <c r="F107" s="15">
        <v>0</v>
      </c>
      <c r="G107" s="15">
        <f>I107-F107</f>
        <v>0</v>
      </c>
      <c r="I107" s="15">
        <v>0</v>
      </c>
      <c r="J107" s="18" t="e">
        <f t="shared" si="22"/>
        <v>#DIV/0!</v>
      </c>
      <c r="K107" s="18" t="e">
        <f t="shared" si="23"/>
        <v>#DIV/0!</v>
      </c>
      <c r="L107" s="18" t="e">
        <f t="shared" si="24"/>
        <v>#DIV/0!</v>
      </c>
    </row>
    <row r="108" spans="1:12" x14ac:dyDescent="0.25">
      <c r="B108" s="1" t="s">
        <v>35</v>
      </c>
      <c r="C108" s="1" t="s">
        <v>10</v>
      </c>
      <c r="D108" s="10">
        <f>'Electric Usage'!N56</f>
        <v>0</v>
      </c>
      <c r="F108" s="15">
        <v>0</v>
      </c>
      <c r="G108" s="15">
        <f t="shared" si="21"/>
        <v>0</v>
      </c>
      <c r="I108" s="15">
        <v>0</v>
      </c>
      <c r="J108" s="18" t="e">
        <f t="shared" si="22"/>
        <v>#DIV/0!</v>
      </c>
      <c r="K108" s="18" t="e">
        <f t="shared" si="23"/>
        <v>#DIV/0!</v>
      </c>
      <c r="L108" s="18" t="e">
        <f t="shared" si="24"/>
        <v>#DIV/0!</v>
      </c>
    </row>
    <row r="109" spans="1:12" x14ac:dyDescent="0.25">
      <c r="B109" s="1"/>
      <c r="C109" s="1"/>
      <c r="D109" s="10"/>
      <c r="F109" s="15"/>
      <c r="G109" s="15"/>
      <c r="I109" s="15"/>
      <c r="J109" s="18"/>
      <c r="K109" s="18"/>
      <c r="L109" s="30" t="s">
        <v>14</v>
      </c>
    </row>
    <row r="110" spans="1:12" x14ac:dyDescent="0.25">
      <c r="B110" s="1"/>
      <c r="C110" s="2" t="s">
        <v>43</v>
      </c>
      <c r="D110" s="17">
        <f>SUM(D97:D108)</f>
        <v>199</v>
      </c>
      <c r="F110" s="3">
        <f>SUM(F97:F108)</f>
        <v>9.17</v>
      </c>
      <c r="G110" s="3">
        <f>SUM(G97:G108)</f>
        <v>443.62</v>
      </c>
      <c r="I110" s="3">
        <f>SUM(I97:I108)</f>
        <v>452.78999999999996</v>
      </c>
      <c r="J110" s="30">
        <f>F110/D110</f>
        <v>4.6080402010050252E-2</v>
      </c>
      <c r="K110" s="30">
        <f>G110/D110</f>
        <v>2.2292462311557788</v>
      </c>
      <c r="L110" s="30">
        <f t="shared" si="24"/>
        <v>2.2753266331658288</v>
      </c>
    </row>
    <row r="111" spans="1:12" x14ac:dyDescent="0.25">
      <c r="B111" s="1"/>
      <c r="C111" s="2"/>
      <c r="D111" s="17"/>
      <c r="F111" s="3"/>
      <c r="G111" s="3"/>
      <c r="I111" s="3"/>
      <c r="J111" s="30"/>
      <c r="K111" s="30"/>
      <c r="L111" s="30"/>
    </row>
    <row r="112" spans="1:12" x14ac:dyDescent="0.25">
      <c r="B112" s="2"/>
      <c r="C112" s="2"/>
      <c r="D112" s="2"/>
      <c r="F112" s="3" t="s">
        <v>20</v>
      </c>
      <c r="G112" s="3" t="s">
        <v>16</v>
      </c>
      <c r="I112" s="3" t="s">
        <v>18</v>
      </c>
      <c r="J112" s="30" t="s">
        <v>38</v>
      </c>
      <c r="K112" s="30" t="s">
        <v>17</v>
      </c>
      <c r="L112" s="37" t="s">
        <v>47</v>
      </c>
    </row>
    <row r="113" spans="1:12" x14ac:dyDescent="0.25">
      <c r="A113" s="38" t="s">
        <v>52</v>
      </c>
      <c r="B113" s="5" t="s">
        <v>15</v>
      </c>
      <c r="C113" s="5" t="s">
        <v>19</v>
      </c>
      <c r="D113" s="5" t="s">
        <v>20</v>
      </c>
      <c r="F113" s="6" t="s">
        <v>22</v>
      </c>
      <c r="G113" s="6" t="s">
        <v>22</v>
      </c>
      <c r="I113" s="6" t="s">
        <v>22</v>
      </c>
      <c r="J113" s="31" t="s">
        <v>39</v>
      </c>
      <c r="K113" s="31" t="s">
        <v>40</v>
      </c>
      <c r="L113" s="38" t="s">
        <v>39</v>
      </c>
    </row>
    <row r="114" spans="1:12" x14ac:dyDescent="0.25">
      <c r="B114" s="1"/>
      <c r="C114" s="1"/>
      <c r="D114" s="1"/>
      <c r="F114" s="15"/>
      <c r="G114" s="15"/>
      <c r="I114" s="15"/>
      <c r="J114" s="18"/>
      <c r="K114" s="18"/>
    </row>
    <row r="115" spans="1:12" x14ac:dyDescent="0.25">
      <c r="A115" s="27" t="s">
        <v>172</v>
      </c>
      <c r="B115" s="1" t="s">
        <v>24</v>
      </c>
      <c r="C115" s="1" t="s">
        <v>171</v>
      </c>
      <c r="D115" s="10">
        <f>'Electric Usage'!C65</f>
        <v>239</v>
      </c>
      <c r="F115" s="15">
        <f>0.36+0.9+0.25</f>
        <v>1.51</v>
      </c>
      <c r="G115" s="15">
        <f t="shared" ref="G115:G124" si="25">I115-F115</f>
        <v>72.319999999999993</v>
      </c>
      <c r="I115" s="15">
        <v>73.83</v>
      </c>
      <c r="J115" s="18">
        <f t="shared" ref="J115:J126" si="26">F115/D115</f>
        <v>6.3179916317991636E-3</v>
      </c>
      <c r="K115" s="18">
        <f t="shared" ref="K115:K126" si="27">G115/D115</f>
        <v>0.30259414225941422</v>
      </c>
      <c r="L115" s="18">
        <f t="shared" ref="L115:L118" si="28">I115/D115</f>
        <v>0.30891213389121336</v>
      </c>
    </row>
    <row r="116" spans="1:12" x14ac:dyDescent="0.25">
      <c r="B116" s="1" t="s">
        <v>25</v>
      </c>
      <c r="C116" s="1" t="s">
        <v>171</v>
      </c>
      <c r="D116" s="10">
        <f>'Electric Usage'!D65</f>
        <v>299</v>
      </c>
      <c r="F116" s="15">
        <f>0.54+0.14+0.29</f>
        <v>0.97</v>
      </c>
      <c r="G116" s="15">
        <f t="shared" si="25"/>
        <v>77.78</v>
      </c>
      <c r="I116" s="15">
        <v>78.75</v>
      </c>
      <c r="J116" s="18">
        <f t="shared" si="26"/>
        <v>3.2441471571906353E-3</v>
      </c>
      <c r="K116" s="18">
        <f t="shared" si="27"/>
        <v>0.26013377926421405</v>
      </c>
      <c r="L116" s="18">
        <f t="shared" si="28"/>
        <v>0.26337792642140467</v>
      </c>
    </row>
    <row r="117" spans="1:12" x14ac:dyDescent="0.25">
      <c r="B117" s="1" t="s">
        <v>26</v>
      </c>
      <c r="C117" s="1" t="s">
        <v>171</v>
      </c>
      <c r="D117" s="10">
        <f>'Electric Usage'!E65</f>
        <v>317</v>
      </c>
      <c r="F117" s="15">
        <f>0.57+0.14+0.31</f>
        <v>1.02</v>
      </c>
      <c r="G117" s="15">
        <f t="shared" si="25"/>
        <v>81.08</v>
      </c>
      <c r="I117" s="15">
        <v>82.1</v>
      </c>
      <c r="J117" s="18">
        <f t="shared" si="26"/>
        <v>3.2176656151419558E-3</v>
      </c>
      <c r="K117" s="18">
        <f t="shared" si="27"/>
        <v>0.25577287066246057</v>
      </c>
      <c r="L117" s="18">
        <f t="shared" si="28"/>
        <v>0.25899053627760249</v>
      </c>
    </row>
    <row r="118" spans="1:12" x14ac:dyDescent="0.25">
      <c r="B118" s="1" t="s">
        <v>41</v>
      </c>
      <c r="C118" s="1" t="s">
        <v>171</v>
      </c>
      <c r="D118" s="10">
        <f>'Electric Usage'!F65</f>
        <v>337</v>
      </c>
      <c r="F118" s="15">
        <f>0.61+0.15+0.33</f>
        <v>1.0900000000000001</v>
      </c>
      <c r="G118" s="15">
        <f t="shared" si="25"/>
        <v>84.509999999999991</v>
      </c>
      <c r="I118" s="15">
        <v>85.6</v>
      </c>
      <c r="J118" s="18">
        <f t="shared" si="26"/>
        <v>3.2344213649851635E-3</v>
      </c>
      <c r="K118" s="18">
        <f t="shared" si="27"/>
        <v>0.2507715133531157</v>
      </c>
      <c r="L118" s="18">
        <f t="shared" si="28"/>
        <v>0.2540059347181009</v>
      </c>
    </row>
    <row r="119" spans="1:12" x14ac:dyDescent="0.25">
      <c r="B119" s="1" t="s">
        <v>28</v>
      </c>
      <c r="C119" s="1" t="s">
        <v>171</v>
      </c>
      <c r="D119" s="10">
        <f>'Electric Usage'!G65</f>
        <v>166</v>
      </c>
      <c r="F119" s="15">
        <f>0.3+0.08+0.16</f>
        <v>0.54</v>
      </c>
      <c r="G119" s="15">
        <f t="shared" si="25"/>
        <v>74.97</v>
      </c>
      <c r="I119" s="15">
        <v>75.510000000000005</v>
      </c>
      <c r="J119" s="18">
        <f t="shared" si="26"/>
        <v>3.2530120481927714E-3</v>
      </c>
      <c r="K119" s="18">
        <f t="shared" si="27"/>
        <v>0.45162650602409637</v>
      </c>
      <c r="L119" s="18">
        <f>I119/D119</f>
        <v>0.45487951807228921</v>
      </c>
    </row>
    <row r="120" spans="1:12" x14ac:dyDescent="0.25">
      <c r="B120" s="1" t="s">
        <v>29</v>
      </c>
      <c r="C120" s="1" t="s">
        <v>171</v>
      </c>
      <c r="D120" s="10">
        <f>'Electric Usage'!H65</f>
        <v>141</v>
      </c>
      <c r="F120" s="15">
        <v>0.46</v>
      </c>
      <c r="G120" s="15">
        <f t="shared" si="25"/>
        <v>73.710000000000008</v>
      </c>
      <c r="I120" s="15">
        <v>74.17</v>
      </c>
      <c r="J120" s="18">
        <f t="shared" si="26"/>
        <v>3.2624113475177305E-3</v>
      </c>
      <c r="K120" s="18">
        <f t="shared" si="27"/>
        <v>0.52276595744680854</v>
      </c>
      <c r="L120" s="18">
        <f t="shared" ref="L120:L126" si="29">I120/D120</f>
        <v>0.52602836879432624</v>
      </c>
    </row>
    <row r="121" spans="1:12" x14ac:dyDescent="0.25">
      <c r="B121" s="1" t="s">
        <v>30</v>
      </c>
      <c r="C121" s="1" t="s">
        <v>171</v>
      </c>
      <c r="D121" s="10">
        <f>'Electric Usage'!I65</f>
        <v>124</v>
      </c>
      <c r="F121" s="15">
        <v>6.61</v>
      </c>
      <c r="G121" s="15">
        <f t="shared" si="25"/>
        <v>66.849999999999994</v>
      </c>
      <c r="I121" s="15">
        <v>73.459999999999994</v>
      </c>
      <c r="J121" s="18">
        <f t="shared" si="26"/>
        <v>5.3306451612903226E-2</v>
      </c>
      <c r="K121" s="18">
        <f t="shared" si="27"/>
        <v>0.53911290322580641</v>
      </c>
      <c r="L121" s="18">
        <f t="shared" si="29"/>
        <v>0.59241935483870967</v>
      </c>
    </row>
    <row r="122" spans="1:12" x14ac:dyDescent="0.25">
      <c r="B122" s="1" t="s">
        <v>31</v>
      </c>
      <c r="C122" s="1" t="s">
        <v>171</v>
      </c>
      <c r="D122" s="10">
        <f>'Electric Usage'!J65</f>
        <v>0</v>
      </c>
      <c r="F122" s="15">
        <v>0</v>
      </c>
      <c r="G122" s="15">
        <f t="shared" si="25"/>
        <v>0</v>
      </c>
      <c r="I122" s="15">
        <v>0</v>
      </c>
      <c r="J122" s="18" t="e">
        <f t="shared" si="26"/>
        <v>#DIV/0!</v>
      </c>
      <c r="K122" s="18" t="e">
        <f t="shared" si="27"/>
        <v>#DIV/0!</v>
      </c>
      <c r="L122" s="18" t="e">
        <f t="shared" si="29"/>
        <v>#DIV/0!</v>
      </c>
    </row>
    <row r="123" spans="1:12" x14ac:dyDescent="0.25">
      <c r="B123" s="1" t="s">
        <v>42</v>
      </c>
      <c r="C123" s="1" t="s">
        <v>171</v>
      </c>
      <c r="D123" s="10">
        <f>'Electric Usage'!K65</f>
        <v>0</v>
      </c>
      <c r="F123" s="15">
        <v>0</v>
      </c>
      <c r="G123" s="15">
        <f t="shared" si="25"/>
        <v>0</v>
      </c>
      <c r="I123" s="15">
        <v>0</v>
      </c>
      <c r="J123" s="18" t="e">
        <f t="shared" si="26"/>
        <v>#DIV/0!</v>
      </c>
      <c r="K123" s="18" t="e">
        <f t="shared" si="27"/>
        <v>#DIV/0!</v>
      </c>
      <c r="L123" s="18" t="e">
        <f t="shared" si="29"/>
        <v>#DIV/0!</v>
      </c>
    </row>
    <row r="124" spans="1:12" x14ac:dyDescent="0.25">
      <c r="B124" s="1" t="s">
        <v>33</v>
      </c>
      <c r="C124" s="1" t="s">
        <v>171</v>
      </c>
      <c r="D124" s="10">
        <f>'Electric Usage'!L65</f>
        <v>0</v>
      </c>
      <c r="F124" s="15">
        <v>0</v>
      </c>
      <c r="G124" s="15">
        <f t="shared" si="25"/>
        <v>0</v>
      </c>
      <c r="I124" s="15">
        <v>0</v>
      </c>
      <c r="J124" s="18" t="e">
        <f t="shared" si="26"/>
        <v>#DIV/0!</v>
      </c>
      <c r="K124" s="18" t="e">
        <f t="shared" si="27"/>
        <v>#DIV/0!</v>
      </c>
      <c r="L124" s="18" t="e">
        <f t="shared" si="29"/>
        <v>#DIV/0!</v>
      </c>
    </row>
    <row r="125" spans="1:12" x14ac:dyDescent="0.25">
      <c r="B125" s="1" t="s">
        <v>34</v>
      </c>
      <c r="C125" s="1" t="s">
        <v>171</v>
      </c>
      <c r="D125" s="10">
        <f>'Electric Usage'!M65</f>
        <v>0</v>
      </c>
      <c r="F125" s="15">
        <v>0</v>
      </c>
      <c r="G125" s="15">
        <f>I125-F125</f>
        <v>0</v>
      </c>
      <c r="I125" s="15">
        <v>0</v>
      </c>
      <c r="J125" s="18" t="e">
        <f t="shared" si="26"/>
        <v>#DIV/0!</v>
      </c>
      <c r="K125" s="18" t="e">
        <f t="shared" si="27"/>
        <v>#DIV/0!</v>
      </c>
      <c r="L125" s="18" t="e">
        <f t="shared" si="29"/>
        <v>#DIV/0!</v>
      </c>
    </row>
    <row r="126" spans="1:12" x14ac:dyDescent="0.25">
      <c r="B126" s="1" t="s">
        <v>35</v>
      </c>
      <c r="C126" s="1" t="s">
        <v>171</v>
      </c>
      <c r="D126" s="10">
        <f>'Electric Usage'!N65</f>
        <v>0</v>
      </c>
      <c r="F126" s="15">
        <v>0</v>
      </c>
      <c r="G126" s="15">
        <f t="shared" ref="G126" si="30">I126-F126</f>
        <v>0</v>
      </c>
      <c r="I126" s="15">
        <v>0</v>
      </c>
      <c r="J126" s="18" t="e">
        <f t="shared" si="26"/>
        <v>#DIV/0!</v>
      </c>
      <c r="K126" s="18" t="e">
        <f t="shared" si="27"/>
        <v>#DIV/0!</v>
      </c>
      <c r="L126" s="18" t="e">
        <f t="shared" si="29"/>
        <v>#DIV/0!</v>
      </c>
    </row>
    <row r="127" spans="1:12" x14ac:dyDescent="0.25">
      <c r="B127" s="1"/>
      <c r="C127" s="1"/>
      <c r="D127" s="10"/>
      <c r="F127" s="15"/>
      <c r="G127" s="15"/>
      <c r="I127" s="15"/>
      <c r="J127" s="18"/>
      <c r="K127" s="18"/>
      <c r="L127" s="30" t="s">
        <v>14</v>
      </c>
    </row>
    <row r="128" spans="1:12" x14ac:dyDescent="0.25">
      <c r="B128" s="1"/>
      <c r="C128" s="2" t="s">
        <v>43</v>
      </c>
      <c r="D128" s="17">
        <f>SUM(D115:D126)</f>
        <v>1623</v>
      </c>
      <c r="F128" s="3">
        <f>SUM(F115:F126)</f>
        <v>12.2</v>
      </c>
      <c r="G128" s="3">
        <f>SUM(G115:G126)</f>
        <v>531.22</v>
      </c>
      <c r="I128" s="3">
        <f>SUM(I115:I126)</f>
        <v>543.41999999999996</v>
      </c>
      <c r="J128" s="30">
        <f>F128/D128</f>
        <v>7.51694393099199E-3</v>
      </c>
      <c r="K128" s="30">
        <f>G128/D128</f>
        <v>0.32730745532963651</v>
      </c>
      <c r="L128" s="30">
        <f t="shared" ref="L128" si="31">I128/D128</f>
        <v>0.33482439926062846</v>
      </c>
    </row>
    <row r="130" spans="2:16" x14ac:dyDescent="0.25">
      <c r="B130" s="2"/>
      <c r="C130" s="2"/>
      <c r="D130" s="2"/>
      <c r="F130" s="3" t="s">
        <v>20</v>
      </c>
      <c r="G130" s="3" t="s">
        <v>16</v>
      </c>
      <c r="I130" s="3" t="s">
        <v>18</v>
      </c>
      <c r="J130" s="30" t="s">
        <v>38</v>
      </c>
      <c r="K130" s="30" t="s">
        <v>17</v>
      </c>
      <c r="L130" s="37" t="s">
        <v>47</v>
      </c>
    </row>
    <row r="131" spans="2:16" x14ac:dyDescent="0.25">
      <c r="B131" s="5" t="s">
        <v>23</v>
      </c>
      <c r="C131" s="5" t="s">
        <v>19</v>
      </c>
      <c r="D131" s="5" t="s">
        <v>20</v>
      </c>
      <c r="F131" s="6" t="s">
        <v>22</v>
      </c>
      <c r="G131" s="6" t="s">
        <v>22</v>
      </c>
      <c r="I131" s="6" t="s">
        <v>22</v>
      </c>
      <c r="J131" s="31" t="s">
        <v>39</v>
      </c>
      <c r="K131" s="31" t="s">
        <v>40</v>
      </c>
      <c r="L131" s="38" t="s">
        <v>39</v>
      </c>
      <c r="N131" s="4"/>
      <c r="P131" s="30"/>
    </row>
    <row r="132" spans="2:16" x14ac:dyDescent="0.25">
      <c r="B132" s="1"/>
      <c r="C132" s="1"/>
      <c r="D132" s="1"/>
      <c r="F132" s="15"/>
      <c r="I132" s="15"/>
      <c r="K132" s="18"/>
      <c r="N132" s="7"/>
      <c r="P132" s="31"/>
    </row>
    <row r="133" spans="2:16" x14ac:dyDescent="0.25">
      <c r="B133" s="1">
        <v>2017</v>
      </c>
      <c r="C133" s="1" t="s">
        <v>44</v>
      </c>
      <c r="D133" s="10">
        <f>SUM('Electric Usage'!O7+'Electric Usage'!O16+'Electric Usage'!O25+'Electric Usage'!O34+'Electric Usage'!O43+'Electric Usage'!O52+'Electric Usage'!O61)</f>
        <v>6341680</v>
      </c>
      <c r="F133" s="15" t="s">
        <v>14</v>
      </c>
      <c r="I133" s="15" t="s">
        <v>14</v>
      </c>
      <c r="K133" s="18" t="s">
        <v>14</v>
      </c>
      <c r="N133" s="15"/>
      <c r="P133" s="18"/>
    </row>
    <row r="134" spans="2:16" x14ac:dyDescent="0.25">
      <c r="B134" s="1">
        <v>2018</v>
      </c>
      <c r="C134" s="1" t="s">
        <v>44</v>
      </c>
      <c r="D134" s="10">
        <f>SUM('Electric Usage'!O8+'Electric Usage'!O17+'Electric Usage'!O26+'Electric Usage'!O35+'Electric Usage'!O44+'Electric Usage'!O53+'Electric Usage'!O62)</f>
        <v>6145796</v>
      </c>
      <c r="F134" s="15" t="s">
        <v>14</v>
      </c>
      <c r="I134" s="15" t="s">
        <v>14</v>
      </c>
      <c r="K134" s="18" t="s">
        <v>14</v>
      </c>
      <c r="N134" s="18"/>
      <c r="P134" s="18"/>
    </row>
    <row r="135" spans="2:16" x14ac:dyDescent="0.25">
      <c r="B135" s="1">
        <v>2019</v>
      </c>
      <c r="C135" s="1" t="s">
        <v>44</v>
      </c>
      <c r="D135" s="10">
        <f>SUM('Electric Usage'!O9+'Electric Usage'!O18+'Electric Usage'!O27+'Electric Usage'!O36+'Electric Usage'!O45+'Electric Usage'!O54+'Electric Usage'!O63)</f>
        <v>6082902</v>
      </c>
      <c r="E135" s="33"/>
      <c r="N135" s="18"/>
      <c r="P135" s="18"/>
    </row>
    <row r="136" spans="2:16" x14ac:dyDescent="0.25">
      <c r="B136" s="1"/>
      <c r="C136" s="1"/>
      <c r="D136" s="10"/>
      <c r="E136" s="33"/>
      <c r="N136" s="18"/>
      <c r="P136" s="18"/>
    </row>
    <row r="137" spans="2:16" x14ac:dyDescent="0.25">
      <c r="B137" s="1">
        <v>2020</v>
      </c>
      <c r="C137" s="1" t="s">
        <v>44</v>
      </c>
      <c r="D137" s="10">
        <f>SUM(D20+D38+D56+D74+D92+D110)</f>
        <v>3396956</v>
      </c>
      <c r="F137" s="15">
        <f>SUM(F20+F38+F56+F74+F92+F110)</f>
        <v>167305.88</v>
      </c>
      <c r="G137" s="15">
        <f>SUM(G20+G38+G56+G74+G92+G110)</f>
        <v>112642.89</v>
      </c>
      <c r="I137" s="15">
        <f>F137+G137</f>
        <v>279948.77</v>
      </c>
      <c r="J137" s="74">
        <f>F137/D137</f>
        <v>4.9251706527844344E-2</v>
      </c>
      <c r="K137" s="74">
        <f>G137/D137</f>
        <v>3.3159949672589221E-2</v>
      </c>
      <c r="L137" s="74">
        <f>I137/D137</f>
        <v>8.2411656200433572E-2</v>
      </c>
      <c r="N137" s="16"/>
      <c r="P137" s="18"/>
    </row>
    <row r="138" spans="2:16" x14ac:dyDescent="0.25">
      <c r="B138" s="1"/>
      <c r="C138" s="1"/>
      <c r="D138" s="10"/>
      <c r="F138" s="15"/>
      <c r="I138" s="15"/>
      <c r="K138" s="18"/>
      <c r="N138" s="16"/>
      <c r="P138" s="18"/>
    </row>
    <row r="139" spans="2:16" x14ac:dyDescent="0.25">
      <c r="B139" s="1"/>
      <c r="C139" s="2" t="s">
        <v>46</v>
      </c>
      <c r="D139" s="17">
        <f>SUM(D133+D134+D135)/3</f>
        <v>6190126</v>
      </c>
      <c r="F139" s="3">
        <f>D139*J137</f>
        <v>304874.26912237902</v>
      </c>
      <c r="G139" s="35">
        <f>D139*K137</f>
        <v>205264.26662698603</v>
      </c>
      <c r="I139" s="3">
        <f>F139+G139</f>
        <v>510138.53574936505</v>
      </c>
      <c r="J139" s="36">
        <f>F139/D139</f>
        <v>4.9251706527844344E-2</v>
      </c>
      <c r="K139" s="30">
        <f>G139/D139</f>
        <v>3.3159949672589221E-2</v>
      </c>
      <c r="L139" s="30">
        <f>I139/D139</f>
        <v>8.2411656200433572E-2</v>
      </c>
      <c r="N139" s="15"/>
      <c r="P139" s="18"/>
    </row>
    <row r="140" spans="2:16" x14ac:dyDescent="0.25">
      <c r="N140" s="4"/>
      <c r="P140" s="30"/>
    </row>
  </sheetData>
  <pageMargins left="0.2" right="0.2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44"/>
  <sheetViews>
    <sheetView topLeftCell="A10" workbookViewId="0">
      <selection sqref="A1:A1048576"/>
    </sheetView>
  </sheetViews>
  <sheetFormatPr defaultRowHeight="15" x14ac:dyDescent="0.25"/>
  <cols>
    <col min="1" max="1" width="27" customWidth="1"/>
    <col min="14" max="14" width="10.7109375" customWidth="1"/>
    <col min="15" max="15" width="10.140625" customWidth="1"/>
    <col min="16" max="16" width="2.7109375" customWidth="1"/>
    <col min="17" max="17" width="10.140625" style="33" bestFit="1" customWidth="1"/>
  </cols>
  <sheetData>
    <row r="1" spans="1:17" x14ac:dyDescent="0.25">
      <c r="A1" s="9" t="s">
        <v>116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7" x14ac:dyDescent="0.25">
      <c r="A2" s="9" t="s">
        <v>179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7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7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Q4" s="63" t="s">
        <v>138</v>
      </c>
    </row>
    <row r="5" spans="1:17" x14ac:dyDescent="0.25">
      <c r="A5" s="5" t="s">
        <v>45</v>
      </c>
      <c r="B5" s="11" t="s">
        <v>23</v>
      </c>
      <c r="C5" s="11" t="s">
        <v>24</v>
      </c>
      <c r="D5" s="11" t="s">
        <v>25</v>
      </c>
      <c r="E5" s="11" t="s">
        <v>26</v>
      </c>
      <c r="F5" s="11" t="s">
        <v>27</v>
      </c>
      <c r="G5" s="11" t="s">
        <v>28</v>
      </c>
      <c r="H5" s="11" t="s">
        <v>29</v>
      </c>
      <c r="I5" s="11" t="s">
        <v>30</v>
      </c>
      <c r="J5" s="11" t="s">
        <v>31</v>
      </c>
      <c r="K5" s="11" t="s">
        <v>32</v>
      </c>
      <c r="L5" s="11" t="s">
        <v>33</v>
      </c>
      <c r="M5" s="11" t="s">
        <v>34</v>
      </c>
      <c r="N5" s="11" t="s">
        <v>35</v>
      </c>
      <c r="O5" s="11" t="s">
        <v>21</v>
      </c>
      <c r="Q5" s="69" t="s">
        <v>23</v>
      </c>
    </row>
    <row r="6" spans="1:17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7" x14ac:dyDescent="0.25">
      <c r="A7" s="1" t="s">
        <v>9</v>
      </c>
      <c r="B7" s="12" t="s">
        <v>36</v>
      </c>
      <c r="C7" s="10">
        <v>473550</v>
      </c>
      <c r="D7" s="10">
        <v>475751</v>
      </c>
      <c r="E7" s="10">
        <v>403808</v>
      </c>
      <c r="F7" s="10">
        <v>404200</v>
      </c>
      <c r="G7" s="10">
        <v>430159</v>
      </c>
      <c r="H7" s="10">
        <v>448091</v>
      </c>
      <c r="I7" s="10">
        <v>476262</v>
      </c>
      <c r="J7" s="10">
        <v>495735</v>
      </c>
      <c r="K7" s="10">
        <v>448064</v>
      </c>
      <c r="L7" s="10">
        <v>462373</v>
      </c>
      <c r="M7" s="10">
        <v>415113</v>
      </c>
      <c r="N7" s="10">
        <v>410290</v>
      </c>
      <c r="O7" s="10">
        <f t="shared" ref="O7:O9" si="0">SUM(C7:N7)</f>
        <v>5343396</v>
      </c>
    </row>
    <row r="8" spans="1:17" x14ac:dyDescent="0.25">
      <c r="A8" s="1" t="s">
        <v>112</v>
      </c>
      <c r="B8" s="12" t="s">
        <v>165</v>
      </c>
      <c r="C8" s="10">
        <v>460715</v>
      </c>
      <c r="D8" s="10">
        <v>398444</v>
      </c>
      <c r="E8" s="10">
        <v>374829</v>
      </c>
      <c r="F8" s="10">
        <v>373102</v>
      </c>
      <c r="G8" s="10">
        <v>412527</v>
      </c>
      <c r="H8" s="10">
        <v>476677</v>
      </c>
      <c r="I8" s="10">
        <v>530423</v>
      </c>
      <c r="J8" s="10">
        <v>478990</v>
      </c>
      <c r="K8" s="10">
        <v>485604</v>
      </c>
      <c r="L8" s="10">
        <v>446122</v>
      </c>
      <c r="M8" s="10">
        <v>389386</v>
      </c>
      <c r="N8" s="10">
        <v>399172</v>
      </c>
      <c r="O8" s="10">
        <f t="shared" si="0"/>
        <v>5225991</v>
      </c>
      <c r="Q8" s="24">
        <f>SUM(C9:I9)</f>
        <v>2931803</v>
      </c>
    </row>
    <row r="9" spans="1:17" x14ac:dyDescent="0.25">
      <c r="A9" s="1" t="s">
        <v>114</v>
      </c>
      <c r="B9" s="12" t="s">
        <v>169</v>
      </c>
      <c r="C9" s="10">
        <v>434650</v>
      </c>
      <c r="D9" s="10">
        <v>409261</v>
      </c>
      <c r="E9" s="10">
        <v>379150</v>
      </c>
      <c r="F9" s="10">
        <v>360406</v>
      </c>
      <c r="G9" s="10">
        <v>413348</v>
      </c>
      <c r="H9" s="10">
        <v>425822</v>
      </c>
      <c r="I9" s="10">
        <v>509166</v>
      </c>
      <c r="J9" s="10">
        <v>484942</v>
      </c>
      <c r="K9" s="10">
        <v>460669</v>
      </c>
      <c r="L9" s="10">
        <v>453013</v>
      </c>
      <c r="M9" s="10">
        <v>384314</v>
      </c>
      <c r="N9" s="10">
        <v>409607</v>
      </c>
      <c r="O9" s="10">
        <f t="shared" si="0"/>
        <v>5124348</v>
      </c>
    </row>
    <row r="10" spans="1:17" x14ac:dyDescent="0.25">
      <c r="A10" s="1"/>
      <c r="B10" s="1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7" x14ac:dyDescent="0.25">
      <c r="A11" s="1" t="s">
        <v>14</v>
      </c>
      <c r="B11" s="12" t="s">
        <v>176</v>
      </c>
      <c r="C11" s="10">
        <v>459697</v>
      </c>
      <c r="D11" s="10">
        <v>392147</v>
      </c>
      <c r="E11" s="10">
        <v>407797</v>
      </c>
      <c r="F11" s="10">
        <v>359951</v>
      </c>
      <c r="G11" s="10">
        <v>373750</v>
      </c>
      <c r="H11" s="10">
        <v>407627</v>
      </c>
      <c r="I11" s="10">
        <v>468992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f t="shared" ref="O11" si="1">SUM(C11:N11)</f>
        <v>2869961</v>
      </c>
    </row>
    <row r="12" spans="1:17" x14ac:dyDescent="0.25">
      <c r="A12" s="1"/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7" x14ac:dyDescent="0.25">
      <c r="A13" s="1" t="s">
        <v>14</v>
      </c>
      <c r="B13" s="12" t="s">
        <v>14</v>
      </c>
      <c r="C13" s="10" t="s">
        <v>14</v>
      </c>
      <c r="D13" s="10" t="s">
        <v>14</v>
      </c>
      <c r="E13" s="10" t="s">
        <v>14</v>
      </c>
      <c r="F13" s="10" t="s">
        <v>14</v>
      </c>
      <c r="G13" s="10" t="s">
        <v>14</v>
      </c>
      <c r="H13" s="10" t="s">
        <v>14</v>
      </c>
      <c r="I13" s="10" t="s">
        <v>14</v>
      </c>
      <c r="J13" s="10" t="s">
        <v>14</v>
      </c>
      <c r="K13" s="10" t="s">
        <v>14</v>
      </c>
      <c r="L13" s="10" t="s">
        <v>14</v>
      </c>
      <c r="M13" s="10" t="s">
        <v>14</v>
      </c>
      <c r="N13" s="10" t="s">
        <v>14</v>
      </c>
      <c r="O13" s="10" t="s">
        <v>14</v>
      </c>
      <c r="Q13" s="63" t="s">
        <v>138</v>
      </c>
    </row>
    <row r="14" spans="1:17" x14ac:dyDescent="0.25">
      <c r="A14" s="5" t="s">
        <v>45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  <c r="G14" s="11" t="s">
        <v>28</v>
      </c>
      <c r="H14" s="11" t="s">
        <v>29</v>
      </c>
      <c r="I14" s="11" t="s">
        <v>30</v>
      </c>
      <c r="J14" s="11" t="s">
        <v>31</v>
      </c>
      <c r="K14" s="11" t="s">
        <v>32</v>
      </c>
      <c r="L14" s="11" t="s">
        <v>33</v>
      </c>
      <c r="M14" s="11" t="s">
        <v>34</v>
      </c>
      <c r="N14" s="11" t="s">
        <v>35</v>
      </c>
      <c r="O14" s="11" t="s">
        <v>21</v>
      </c>
      <c r="Q14" s="69" t="s">
        <v>23</v>
      </c>
    </row>
    <row r="15" spans="1:17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7" x14ac:dyDescent="0.25">
      <c r="A16" s="1" t="s">
        <v>13</v>
      </c>
      <c r="B16" s="12" t="s">
        <v>36</v>
      </c>
      <c r="C16" s="10">
        <v>36080</v>
      </c>
      <c r="D16" s="10">
        <v>29560</v>
      </c>
      <c r="E16" s="10">
        <v>30200</v>
      </c>
      <c r="F16" s="10">
        <v>32320</v>
      </c>
      <c r="G16" s="10">
        <v>38840</v>
      </c>
      <c r="H16" s="10">
        <v>48520</v>
      </c>
      <c r="I16" s="10">
        <v>33720</v>
      </c>
      <c r="J16" s="10">
        <v>54480</v>
      </c>
      <c r="K16" s="10">
        <v>40480</v>
      </c>
      <c r="L16" s="10">
        <v>43720</v>
      </c>
      <c r="M16" s="10">
        <v>38240</v>
      </c>
      <c r="N16" s="10">
        <v>40360</v>
      </c>
      <c r="O16" s="10">
        <f t="shared" ref="O16:O17" si="2">SUM(C16:N16)</f>
        <v>466520</v>
      </c>
    </row>
    <row r="17" spans="1:19" x14ac:dyDescent="0.25">
      <c r="A17" s="1" t="s">
        <v>14</v>
      </c>
      <c r="B17" s="12" t="s">
        <v>165</v>
      </c>
      <c r="C17" s="10">
        <v>32840</v>
      </c>
      <c r="D17" s="10">
        <v>30520</v>
      </c>
      <c r="E17" s="10">
        <v>64600</v>
      </c>
      <c r="F17" s="10">
        <v>38040</v>
      </c>
      <c r="G17" s="10">
        <v>38840</v>
      </c>
      <c r="H17" s="10">
        <v>48640</v>
      </c>
      <c r="I17" s="10">
        <v>43920</v>
      </c>
      <c r="J17" s="10">
        <v>41840</v>
      </c>
      <c r="K17" s="10">
        <v>47200</v>
      </c>
      <c r="L17" s="10">
        <v>36640</v>
      </c>
      <c r="M17" s="10">
        <v>36960</v>
      </c>
      <c r="N17" s="10">
        <v>36560</v>
      </c>
      <c r="O17" s="10">
        <f t="shared" si="2"/>
        <v>496600</v>
      </c>
      <c r="Q17" s="24">
        <f>SUM(C18:I18)</f>
        <v>362320</v>
      </c>
    </row>
    <row r="18" spans="1:19" x14ac:dyDescent="0.25">
      <c r="A18" s="1" t="s">
        <v>14</v>
      </c>
      <c r="B18" s="12" t="s">
        <v>169</v>
      </c>
      <c r="C18" s="10">
        <v>58920</v>
      </c>
      <c r="D18" s="10">
        <v>31520</v>
      </c>
      <c r="E18" s="10">
        <v>64600</v>
      </c>
      <c r="F18" s="10">
        <v>60480</v>
      </c>
      <c r="G18" s="10">
        <v>48440</v>
      </c>
      <c r="H18" s="10">
        <v>54440</v>
      </c>
      <c r="I18" s="10">
        <v>43920</v>
      </c>
      <c r="J18" s="10">
        <v>54680</v>
      </c>
      <c r="K18" s="10">
        <v>46360</v>
      </c>
      <c r="L18" s="10">
        <v>41600</v>
      </c>
      <c r="M18" s="10">
        <v>35360</v>
      </c>
      <c r="N18" s="10">
        <v>42320</v>
      </c>
      <c r="O18" s="10">
        <f t="shared" ref="O18" si="3">SUM(C18:N18)</f>
        <v>582640</v>
      </c>
      <c r="S18" s="68" t="s">
        <v>14</v>
      </c>
    </row>
    <row r="19" spans="1:19" x14ac:dyDescent="0.25">
      <c r="A19" s="1" t="s">
        <v>14</v>
      </c>
      <c r="B19" s="12" t="s">
        <v>14</v>
      </c>
      <c r="C19" s="10" t="s">
        <v>14</v>
      </c>
      <c r="D19" s="10" t="s">
        <v>14</v>
      </c>
      <c r="E19" s="10" t="s">
        <v>14</v>
      </c>
      <c r="F19" s="10" t="s">
        <v>14</v>
      </c>
      <c r="G19" s="10" t="s">
        <v>14</v>
      </c>
      <c r="H19" s="10" t="s">
        <v>14</v>
      </c>
      <c r="I19" s="10" t="s">
        <v>14</v>
      </c>
      <c r="J19" s="10" t="s">
        <v>14</v>
      </c>
      <c r="K19" s="10" t="s">
        <v>14</v>
      </c>
      <c r="L19" s="10" t="s">
        <v>14</v>
      </c>
      <c r="M19" s="10" t="s">
        <v>14</v>
      </c>
      <c r="N19" s="10" t="s">
        <v>14</v>
      </c>
      <c r="O19" s="10" t="s">
        <v>14</v>
      </c>
    </row>
    <row r="20" spans="1:19" x14ac:dyDescent="0.25">
      <c r="A20" s="1" t="s">
        <v>14</v>
      </c>
      <c r="B20" s="12" t="s">
        <v>176</v>
      </c>
      <c r="C20" s="10">
        <v>53680</v>
      </c>
      <c r="D20" s="10">
        <v>45560</v>
      </c>
      <c r="E20" s="10">
        <v>41480</v>
      </c>
      <c r="F20" s="10">
        <v>44760</v>
      </c>
      <c r="G20" s="10">
        <v>40080</v>
      </c>
      <c r="H20" s="10">
        <v>44240</v>
      </c>
      <c r="I20" s="10">
        <v>37520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f t="shared" ref="O20" si="4">SUM(C20:N20)</f>
        <v>307320</v>
      </c>
    </row>
    <row r="21" spans="1:19" x14ac:dyDescent="0.25">
      <c r="A21" s="1" t="s">
        <v>14</v>
      </c>
      <c r="B21" s="12" t="s">
        <v>14</v>
      </c>
      <c r="C21" s="10" t="s">
        <v>14</v>
      </c>
      <c r="D21" s="10" t="s">
        <v>14</v>
      </c>
      <c r="E21" s="10" t="s">
        <v>14</v>
      </c>
      <c r="F21" s="10" t="s">
        <v>14</v>
      </c>
      <c r="G21" s="10" t="s">
        <v>136</v>
      </c>
      <c r="H21" s="10" t="s">
        <v>14</v>
      </c>
      <c r="I21" s="10" t="s">
        <v>14</v>
      </c>
      <c r="J21" s="10" t="s">
        <v>14</v>
      </c>
      <c r="K21" s="10" t="s">
        <v>14</v>
      </c>
      <c r="L21" s="10" t="s">
        <v>14</v>
      </c>
      <c r="M21" s="10" t="s">
        <v>14</v>
      </c>
      <c r="N21" s="10" t="s">
        <v>14</v>
      </c>
      <c r="O21" s="10" t="s">
        <v>14</v>
      </c>
    </row>
    <row r="22" spans="1:19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Q22" s="63" t="s">
        <v>138</v>
      </c>
    </row>
    <row r="23" spans="1:19" x14ac:dyDescent="0.25">
      <c r="A23" s="5" t="s">
        <v>45</v>
      </c>
      <c r="B23" s="11" t="s">
        <v>23</v>
      </c>
      <c r="C23" s="11" t="s">
        <v>24</v>
      </c>
      <c r="D23" s="11" t="s">
        <v>25</v>
      </c>
      <c r="E23" s="11" t="s">
        <v>26</v>
      </c>
      <c r="F23" s="11" t="s">
        <v>27</v>
      </c>
      <c r="G23" s="11" t="s">
        <v>28</v>
      </c>
      <c r="H23" s="11" t="s">
        <v>29</v>
      </c>
      <c r="I23" s="11" t="s">
        <v>30</v>
      </c>
      <c r="J23" s="11" t="s">
        <v>31</v>
      </c>
      <c r="K23" s="11" t="s">
        <v>32</v>
      </c>
      <c r="L23" s="11" t="s">
        <v>33</v>
      </c>
      <c r="M23" s="11" t="s">
        <v>34</v>
      </c>
      <c r="N23" s="11" t="s">
        <v>35</v>
      </c>
      <c r="O23" s="11" t="s">
        <v>21</v>
      </c>
      <c r="Q23" s="69" t="s">
        <v>23</v>
      </c>
    </row>
    <row r="24" spans="1:19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9" x14ac:dyDescent="0.25">
      <c r="A25" s="1" t="s">
        <v>11</v>
      </c>
      <c r="B25" s="12" t="s">
        <v>36</v>
      </c>
      <c r="C25" s="10">
        <v>30720</v>
      </c>
      <c r="D25" s="10">
        <v>35360</v>
      </c>
      <c r="E25" s="10">
        <v>23120</v>
      </c>
      <c r="F25" s="10">
        <v>16800</v>
      </c>
      <c r="G25" s="10">
        <v>3680</v>
      </c>
      <c r="H25" s="10">
        <v>2640</v>
      </c>
      <c r="I25" s="10">
        <v>2560</v>
      </c>
      <c r="J25" s="10">
        <v>2400</v>
      </c>
      <c r="K25" s="10">
        <v>3280</v>
      </c>
      <c r="L25" s="10">
        <v>3120</v>
      </c>
      <c r="M25" s="10">
        <v>5840</v>
      </c>
      <c r="N25" s="10">
        <v>15920</v>
      </c>
      <c r="O25" s="10">
        <f t="shared" ref="O25:O26" si="5">SUM(C25:N25)</f>
        <v>145440</v>
      </c>
    </row>
    <row r="26" spans="1:19" x14ac:dyDescent="0.25">
      <c r="A26" s="1" t="s">
        <v>14</v>
      </c>
      <c r="B26" s="12" t="s">
        <v>165</v>
      </c>
      <c r="C26" s="10">
        <v>49440</v>
      </c>
      <c r="D26" s="10">
        <v>44160</v>
      </c>
      <c r="E26" s="10">
        <v>41600</v>
      </c>
      <c r="F26" s="10">
        <v>16640</v>
      </c>
      <c r="G26" s="10">
        <v>3360</v>
      </c>
      <c r="H26" s="10">
        <v>2320</v>
      </c>
      <c r="I26" s="10">
        <v>2640</v>
      </c>
      <c r="J26" s="10">
        <v>2240</v>
      </c>
      <c r="K26" s="10">
        <v>2400</v>
      </c>
      <c r="L26" s="10">
        <v>4000</v>
      </c>
      <c r="M26" s="10">
        <v>5520</v>
      </c>
      <c r="N26" s="10">
        <v>37840</v>
      </c>
      <c r="O26" s="10">
        <f t="shared" si="5"/>
        <v>212160</v>
      </c>
      <c r="Q26" s="24">
        <f>SUM(C27:I27)</f>
        <v>116160</v>
      </c>
      <c r="S26" s="68" t="s">
        <v>14</v>
      </c>
    </row>
    <row r="27" spans="1:19" x14ac:dyDescent="0.25">
      <c r="A27" s="1" t="s">
        <v>14</v>
      </c>
      <c r="B27" s="12" t="s">
        <v>169</v>
      </c>
      <c r="C27" s="10">
        <v>19440</v>
      </c>
      <c r="D27" s="10">
        <v>45520</v>
      </c>
      <c r="E27" s="10">
        <v>13920</v>
      </c>
      <c r="F27" s="10">
        <v>28880</v>
      </c>
      <c r="G27" s="10">
        <v>3120</v>
      </c>
      <c r="H27" s="10">
        <v>2960</v>
      </c>
      <c r="I27" s="10">
        <v>2320</v>
      </c>
      <c r="J27" s="10">
        <v>2960</v>
      </c>
      <c r="K27" s="10">
        <v>3200</v>
      </c>
      <c r="L27" s="10">
        <v>2880</v>
      </c>
      <c r="M27" s="10">
        <v>12160</v>
      </c>
      <c r="N27" s="10">
        <v>9680</v>
      </c>
      <c r="O27" s="10">
        <f t="shared" ref="O27" si="6">SUM(C27:N27)</f>
        <v>147040</v>
      </c>
    </row>
    <row r="28" spans="1:19" x14ac:dyDescent="0.25">
      <c r="A28" s="1" t="s">
        <v>14</v>
      </c>
      <c r="B28" s="12" t="s">
        <v>14</v>
      </c>
      <c r="C28" s="10" t="s">
        <v>14</v>
      </c>
      <c r="D28" s="10" t="s">
        <v>14</v>
      </c>
      <c r="E28" s="10" t="s">
        <v>14</v>
      </c>
      <c r="F28" s="10" t="s">
        <v>14</v>
      </c>
      <c r="G28" s="10" t="s">
        <v>14</v>
      </c>
      <c r="H28" s="10" t="s">
        <v>14</v>
      </c>
      <c r="I28" s="10" t="s">
        <v>14</v>
      </c>
      <c r="J28" s="10" t="s">
        <v>14</v>
      </c>
      <c r="K28" s="10" t="s">
        <v>14</v>
      </c>
      <c r="L28" s="10" t="s">
        <v>14</v>
      </c>
      <c r="M28" s="10" t="s">
        <v>14</v>
      </c>
      <c r="N28" s="10" t="s">
        <v>14</v>
      </c>
      <c r="O28" s="10" t="s">
        <v>14</v>
      </c>
    </row>
    <row r="29" spans="1:19" x14ac:dyDescent="0.25">
      <c r="A29" s="1" t="s">
        <v>14</v>
      </c>
      <c r="B29" s="12" t="s">
        <v>176</v>
      </c>
      <c r="C29" s="10">
        <v>34320</v>
      </c>
      <c r="D29" s="10">
        <v>42960</v>
      </c>
      <c r="E29" s="10">
        <v>20240</v>
      </c>
      <c r="F29" s="10">
        <v>6560</v>
      </c>
      <c r="G29" s="10">
        <v>8160</v>
      </c>
      <c r="H29" s="10">
        <v>2880</v>
      </c>
      <c r="I29" s="10">
        <v>2480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f t="shared" ref="O29" si="7">SUM(C29:N29)</f>
        <v>117600</v>
      </c>
    </row>
    <row r="30" spans="1:19" x14ac:dyDescent="0.25">
      <c r="A30" s="1" t="s">
        <v>14</v>
      </c>
      <c r="B30" s="12" t="s">
        <v>14</v>
      </c>
      <c r="C30" s="10" t="s">
        <v>14</v>
      </c>
      <c r="D30" s="10" t="s">
        <v>14</v>
      </c>
      <c r="E30" s="10" t="s">
        <v>14</v>
      </c>
      <c r="F30" s="10" t="s">
        <v>14</v>
      </c>
      <c r="G30" s="10" t="s">
        <v>14</v>
      </c>
      <c r="H30" s="10" t="s">
        <v>14</v>
      </c>
      <c r="I30" s="10" t="s">
        <v>14</v>
      </c>
      <c r="J30" s="10" t="s">
        <v>14</v>
      </c>
      <c r="K30" s="10" t="s">
        <v>14</v>
      </c>
      <c r="L30" s="10" t="s">
        <v>14</v>
      </c>
      <c r="M30" s="10" t="s">
        <v>14</v>
      </c>
      <c r="N30" s="10" t="s">
        <v>14</v>
      </c>
      <c r="O30" s="10" t="s">
        <v>14</v>
      </c>
    </row>
    <row r="31" spans="1:19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Q31" s="63" t="s">
        <v>138</v>
      </c>
    </row>
    <row r="32" spans="1:19" x14ac:dyDescent="0.25">
      <c r="A32" s="5" t="s">
        <v>45</v>
      </c>
      <c r="B32" s="11" t="s">
        <v>23</v>
      </c>
      <c r="C32" s="11" t="s">
        <v>24</v>
      </c>
      <c r="D32" s="11" t="s">
        <v>25</v>
      </c>
      <c r="E32" s="11" t="s">
        <v>26</v>
      </c>
      <c r="F32" s="11" t="s">
        <v>27</v>
      </c>
      <c r="G32" s="11" t="s">
        <v>28</v>
      </c>
      <c r="H32" s="11" t="s">
        <v>29</v>
      </c>
      <c r="I32" s="11" t="s">
        <v>30</v>
      </c>
      <c r="J32" s="11" t="s">
        <v>31</v>
      </c>
      <c r="K32" s="11" t="s">
        <v>32</v>
      </c>
      <c r="L32" s="11" t="s">
        <v>33</v>
      </c>
      <c r="M32" s="11" t="s">
        <v>34</v>
      </c>
      <c r="N32" s="11" t="s">
        <v>35</v>
      </c>
      <c r="O32" s="11" t="s">
        <v>21</v>
      </c>
      <c r="Q32" s="69" t="s">
        <v>23</v>
      </c>
    </row>
    <row r="33" spans="1:19" x14ac:dyDescent="0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9" x14ac:dyDescent="0.25">
      <c r="A34" s="1" t="s">
        <v>37</v>
      </c>
      <c r="B34" s="12" t="s">
        <v>36</v>
      </c>
      <c r="C34" s="10">
        <v>27161</v>
      </c>
      <c r="D34" s="10">
        <v>20407</v>
      </c>
      <c r="E34" s="10">
        <v>19377</v>
      </c>
      <c r="F34" s="10">
        <v>14772</v>
      </c>
      <c r="G34" s="10">
        <v>10894</v>
      </c>
      <c r="H34" s="10">
        <v>10446</v>
      </c>
      <c r="I34" s="10">
        <v>9844</v>
      </c>
      <c r="J34" s="10">
        <v>10961</v>
      </c>
      <c r="K34" s="10">
        <v>12549</v>
      </c>
      <c r="L34" s="10">
        <v>15558</v>
      </c>
      <c r="M34" s="10">
        <v>17545</v>
      </c>
      <c r="N34" s="10">
        <v>21253</v>
      </c>
      <c r="O34" s="10">
        <f t="shared" ref="O34:O36" si="8">SUM(C34:N34)</f>
        <v>190767</v>
      </c>
    </row>
    <row r="35" spans="1:19" x14ac:dyDescent="0.25">
      <c r="A35" s="1" t="s">
        <v>108</v>
      </c>
      <c r="B35" s="12" t="s">
        <v>165</v>
      </c>
      <c r="C35" s="10">
        <v>22414</v>
      </c>
      <c r="D35" s="10">
        <v>19224</v>
      </c>
      <c r="E35" s="10">
        <v>19289</v>
      </c>
      <c r="F35" s="10">
        <v>16624</v>
      </c>
      <c r="G35" s="10">
        <v>12602</v>
      </c>
      <c r="H35" s="10">
        <v>12866</v>
      </c>
      <c r="I35" s="10">
        <v>12114</v>
      </c>
      <c r="J35" s="10">
        <v>11780</v>
      </c>
      <c r="K35" s="10">
        <v>14063</v>
      </c>
      <c r="L35" s="10">
        <v>13922</v>
      </c>
      <c r="M35" s="10">
        <v>16964</v>
      </c>
      <c r="N35" s="10">
        <v>21874</v>
      </c>
      <c r="O35" s="10">
        <f t="shared" si="8"/>
        <v>193736</v>
      </c>
      <c r="Q35" s="24">
        <f>SUM(C36:I36)</f>
        <v>128295</v>
      </c>
      <c r="S35" s="68" t="s">
        <v>14</v>
      </c>
    </row>
    <row r="36" spans="1:19" x14ac:dyDescent="0.25">
      <c r="A36" s="1" t="s">
        <v>168</v>
      </c>
      <c r="B36" s="12" t="s">
        <v>169</v>
      </c>
      <c r="C36" s="10">
        <v>22593</v>
      </c>
      <c r="D36" s="10">
        <v>19837</v>
      </c>
      <c r="E36" s="10">
        <v>29116</v>
      </c>
      <c r="F36" s="10">
        <v>16027</v>
      </c>
      <c r="G36" s="10">
        <v>12876</v>
      </c>
      <c r="H36" s="10">
        <v>16949</v>
      </c>
      <c r="I36" s="10">
        <v>10897</v>
      </c>
      <c r="J36" s="10">
        <v>13039</v>
      </c>
      <c r="K36" s="10">
        <v>21260</v>
      </c>
      <c r="L36" s="10">
        <v>13260</v>
      </c>
      <c r="M36" s="10">
        <v>15556</v>
      </c>
      <c r="N36" s="10">
        <v>16935</v>
      </c>
      <c r="O36" s="10">
        <f t="shared" si="8"/>
        <v>208345</v>
      </c>
    </row>
    <row r="37" spans="1:19" x14ac:dyDescent="0.25">
      <c r="A37" s="1" t="s">
        <v>167</v>
      </c>
      <c r="B37" s="12" t="s">
        <v>14</v>
      </c>
      <c r="C37" s="10" t="s">
        <v>14</v>
      </c>
      <c r="D37" s="10" t="s">
        <v>14</v>
      </c>
      <c r="E37" s="10" t="s">
        <v>14</v>
      </c>
      <c r="F37" s="10" t="s">
        <v>14</v>
      </c>
      <c r="G37" s="10" t="s">
        <v>14</v>
      </c>
      <c r="H37" s="10" t="s">
        <v>14</v>
      </c>
      <c r="I37" s="10" t="s">
        <v>14</v>
      </c>
      <c r="J37" s="10" t="s">
        <v>14</v>
      </c>
      <c r="K37" s="10" t="s">
        <v>14</v>
      </c>
      <c r="L37" s="10" t="s">
        <v>14</v>
      </c>
      <c r="M37" s="10" t="s">
        <v>14</v>
      </c>
      <c r="N37" s="10" t="s">
        <v>14</v>
      </c>
      <c r="O37" s="10" t="s">
        <v>14</v>
      </c>
    </row>
    <row r="38" spans="1:19" x14ac:dyDescent="0.25">
      <c r="A38" s="1" t="s">
        <v>14</v>
      </c>
      <c r="B38" s="12" t="s">
        <v>176</v>
      </c>
      <c r="C38" s="10">
        <v>19933</v>
      </c>
      <c r="D38" s="10">
        <v>17365</v>
      </c>
      <c r="E38" s="10">
        <v>14409</v>
      </c>
      <c r="F38" s="10">
        <v>13870</v>
      </c>
      <c r="G38" s="10">
        <v>11064</v>
      </c>
      <c r="H38" s="10">
        <v>9546</v>
      </c>
      <c r="I38" s="10">
        <v>7948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f t="shared" ref="O38" si="9">SUM(C38:N38)</f>
        <v>94135</v>
      </c>
    </row>
    <row r="39" spans="1:19" x14ac:dyDescent="0.25">
      <c r="A39" s="1" t="s">
        <v>14</v>
      </c>
      <c r="B39" s="12" t="s">
        <v>14</v>
      </c>
      <c r="C39" s="10" t="s">
        <v>14</v>
      </c>
      <c r="D39" s="10" t="s">
        <v>14</v>
      </c>
      <c r="E39" s="10" t="s">
        <v>14</v>
      </c>
      <c r="F39" s="10" t="s">
        <v>14</v>
      </c>
      <c r="G39" s="10" t="s">
        <v>14</v>
      </c>
      <c r="H39" s="10" t="s">
        <v>14</v>
      </c>
      <c r="I39" s="10" t="s">
        <v>14</v>
      </c>
      <c r="J39" s="10" t="s">
        <v>14</v>
      </c>
      <c r="K39" s="10" t="s">
        <v>14</v>
      </c>
      <c r="L39" s="10" t="s">
        <v>14</v>
      </c>
      <c r="M39" s="10" t="s">
        <v>14</v>
      </c>
      <c r="N39" s="10" t="s">
        <v>14</v>
      </c>
      <c r="O39" s="10" t="s">
        <v>14</v>
      </c>
    </row>
    <row r="40" spans="1:19" x14ac:dyDescent="0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Q40" s="63" t="s">
        <v>138</v>
      </c>
    </row>
    <row r="41" spans="1:19" x14ac:dyDescent="0.25">
      <c r="A41" s="5" t="s">
        <v>45</v>
      </c>
      <c r="B41" s="11" t="s">
        <v>23</v>
      </c>
      <c r="C41" s="11" t="s">
        <v>24</v>
      </c>
      <c r="D41" s="11" t="s">
        <v>25</v>
      </c>
      <c r="E41" s="11" t="s">
        <v>26</v>
      </c>
      <c r="F41" s="11" t="s">
        <v>27</v>
      </c>
      <c r="G41" s="11" t="s">
        <v>28</v>
      </c>
      <c r="H41" s="11" t="s">
        <v>29</v>
      </c>
      <c r="I41" s="11" t="s">
        <v>30</v>
      </c>
      <c r="J41" s="11" t="s">
        <v>31</v>
      </c>
      <c r="K41" s="11" t="s">
        <v>32</v>
      </c>
      <c r="L41" s="11" t="s">
        <v>33</v>
      </c>
      <c r="M41" s="11" t="s">
        <v>34</v>
      </c>
      <c r="N41" s="11" t="s">
        <v>35</v>
      </c>
      <c r="O41" s="11" t="s">
        <v>21</v>
      </c>
      <c r="Q41" s="69" t="s">
        <v>23</v>
      </c>
    </row>
    <row r="42" spans="1:19" x14ac:dyDescent="0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9" x14ac:dyDescent="0.25">
      <c r="A43" s="1" t="s">
        <v>12</v>
      </c>
      <c r="B43" s="12" t="s">
        <v>36</v>
      </c>
      <c r="C43" s="10">
        <v>25537</v>
      </c>
      <c r="D43" s="10">
        <v>20465</v>
      </c>
      <c r="E43" s="10">
        <v>18107</v>
      </c>
      <c r="F43" s="10">
        <v>15830</v>
      </c>
      <c r="G43" s="10">
        <v>14509</v>
      </c>
      <c r="H43" s="10">
        <v>11681</v>
      </c>
      <c r="I43" s="10">
        <v>13819</v>
      </c>
      <c r="J43" s="10">
        <v>11784</v>
      </c>
      <c r="K43" s="10">
        <v>16141</v>
      </c>
      <c r="L43" s="10">
        <v>18747</v>
      </c>
      <c r="M43" s="10">
        <v>24452</v>
      </c>
      <c r="N43" s="10">
        <v>4406</v>
      </c>
      <c r="O43" s="10">
        <f t="shared" ref="O43:O45" si="10">SUM(C43:N43)</f>
        <v>195478</v>
      </c>
    </row>
    <row r="44" spans="1:19" x14ac:dyDescent="0.25">
      <c r="A44" s="1" t="s">
        <v>14</v>
      </c>
      <c r="B44" s="12" t="s">
        <v>165</v>
      </c>
      <c r="C44" s="10">
        <v>3078</v>
      </c>
      <c r="D44" s="10">
        <v>2138</v>
      </c>
      <c r="E44" s="10">
        <v>2057</v>
      </c>
      <c r="F44" s="10">
        <v>1633</v>
      </c>
      <c r="G44" s="10">
        <v>1891</v>
      </c>
      <c r="H44" s="10">
        <v>1172</v>
      </c>
      <c r="I44" s="10">
        <v>288</v>
      </c>
      <c r="J44" s="10">
        <v>251</v>
      </c>
      <c r="K44" s="10">
        <v>272</v>
      </c>
      <c r="L44" s="10">
        <v>482</v>
      </c>
      <c r="M44" s="10">
        <v>1394</v>
      </c>
      <c r="N44" s="10">
        <v>2212</v>
      </c>
      <c r="O44" s="10">
        <f t="shared" si="10"/>
        <v>16868</v>
      </c>
      <c r="Q44" s="24">
        <f>SUM(C45:I45)</f>
        <v>8985</v>
      </c>
      <c r="S44" s="68" t="s">
        <v>14</v>
      </c>
    </row>
    <row r="45" spans="1:19" x14ac:dyDescent="0.25">
      <c r="A45" s="1" t="s">
        <v>14</v>
      </c>
      <c r="B45" s="12" t="s">
        <v>169</v>
      </c>
      <c r="C45" s="10">
        <v>2497</v>
      </c>
      <c r="D45" s="10">
        <v>2420</v>
      </c>
      <c r="E45" s="10">
        <v>1988</v>
      </c>
      <c r="F45" s="10">
        <v>1079</v>
      </c>
      <c r="G45" s="10">
        <v>487</v>
      </c>
      <c r="H45" s="10">
        <v>335</v>
      </c>
      <c r="I45" s="10">
        <v>179</v>
      </c>
      <c r="J45" s="10">
        <v>8</v>
      </c>
      <c r="K45" s="10">
        <v>8</v>
      </c>
      <c r="L45" s="10">
        <v>3950</v>
      </c>
      <c r="M45" s="10">
        <v>1612</v>
      </c>
      <c r="N45" s="10">
        <v>2291</v>
      </c>
      <c r="O45" s="10">
        <f t="shared" si="10"/>
        <v>16854</v>
      </c>
      <c r="Q45" s="24"/>
    </row>
    <row r="46" spans="1:19" x14ac:dyDescent="0.25">
      <c r="A46" s="1" t="s">
        <v>14</v>
      </c>
      <c r="B46" s="12" t="s">
        <v>14</v>
      </c>
      <c r="C46" s="10" t="s">
        <v>14</v>
      </c>
      <c r="D46" s="10" t="s">
        <v>14</v>
      </c>
      <c r="E46" s="10" t="s">
        <v>14</v>
      </c>
      <c r="F46" s="10" t="s">
        <v>14</v>
      </c>
      <c r="G46" s="10" t="s">
        <v>14</v>
      </c>
      <c r="H46" s="10" t="s">
        <v>14</v>
      </c>
      <c r="I46" s="10" t="s">
        <v>14</v>
      </c>
      <c r="J46" s="10" t="s">
        <v>14</v>
      </c>
      <c r="K46" s="10" t="s">
        <v>14</v>
      </c>
      <c r="L46" s="10" t="s">
        <v>14</v>
      </c>
      <c r="M46" s="10" t="s">
        <v>14</v>
      </c>
      <c r="N46" s="10" t="s">
        <v>14</v>
      </c>
      <c r="O46" s="10" t="s">
        <v>14</v>
      </c>
    </row>
    <row r="47" spans="1:19" x14ac:dyDescent="0.25">
      <c r="A47" s="1" t="s">
        <v>14</v>
      </c>
      <c r="B47" s="12" t="s">
        <v>176</v>
      </c>
      <c r="C47" s="10">
        <v>1957</v>
      </c>
      <c r="D47" s="10">
        <v>1716</v>
      </c>
      <c r="E47" s="10">
        <v>1423</v>
      </c>
      <c r="F47" s="10">
        <v>1221</v>
      </c>
      <c r="G47" s="10">
        <v>791</v>
      </c>
      <c r="H47" s="10">
        <v>327</v>
      </c>
      <c r="I47" s="10">
        <v>306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f t="shared" ref="O47" si="11">SUM(C47:N47)</f>
        <v>7741</v>
      </c>
    </row>
    <row r="48" spans="1:19" x14ac:dyDescent="0.25">
      <c r="A48" s="1" t="s">
        <v>14</v>
      </c>
      <c r="B48" s="12" t="s">
        <v>14</v>
      </c>
      <c r="C48" s="10" t="s">
        <v>14</v>
      </c>
      <c r="D48" s="10" t="s">
        <v>14</v>
      </c>
      <c r="E48" s="10" t="s">
        <v>14</v>
      </c>
      <c r="F48" s="10" t="s">
        <v>14</v>
      </c>
      <c r="G48" s="10" t="s">
        <v>14</v>
      </c>
      <c r="H48" s="10" t="s">
        <v>14</v>
      </c>
      <c r="I48" s="10" t="s">
        <v>14</v>
      </c>
      <c r="J48" s="10" t="s">
        <v>14</v>
      </c>
      <c r="K48" s="10" t="s">
        <v>14</v>
      </c>
      <c r="L48" s="10" t="s">
        <v>14</v>
      </c>
      <c r="M48" s="10" t="s">
        <v>14</v>
      </c>
      <c r="N48" s="10" t="s">
        <v>14</v>
      </c>
      <c r="O48" s="10" t="s">
        <v>14</v>
      </c>
    </row>
    <row r="49" spans="1:18" x14ac:dyDescent="0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Q49" s="63" t="s">
        <v>138</v>
      </c>
    </row>
    <row r="50" spans="1:18" x14ac:dyDescent="0.25">
      <c r="A50" s="5" t="s">
        <v>45</v>
      </c>
      <c r="B50" s="11" t="s">
        <v>23</v>
      </c>
      <c r="C50" s="11" t="s">
        <v>24</v>
      </c>
      <c r="D50" s="11" t="s">
        <v>25</v>
      </c>
      <c r="E50" s="11" t="s">
        <v>26</v>
      </c>
      <c r="F50" s="11" t="s">
        <v>27</v>
      </c>
      <c r="G50" s="11" t="s">
        <v>28</v>
      </c>
      <c r="H50" s="11" t="s">
        <v>29</v>
      </c>
      <c r="I50" s="11" t="s">
        <v>30</v>
      </c>
      <c r="J50" s="11" t="s">
        <v>31</v>
      </c>
      <c r="K50" s="11" t="s">
        <v>32</v>
      </c>
      <c r="L50" s="11" t="s">
        <v>33</v>
      </c>
      <c r="M50" s="11" t="s">
        <v>34</v>
      </c>
      <c r="N50" s="11" t="s">
        <v>35</v>
      </c>
      <c r="O50" s="11" t="s">
        <v>21</v>
      </c>
      <c r="Q50" s="69" t="s">
        <v>23</v>
      </c>
    </row>
    <row r="51" spans="1:18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8" x14ac:dyDescent="0.25">
      <c r="A52" s="1" t="s">
        <v>10</v>
      </c>
      <c r="B52" s="12" t="s">
        <v>36</v>
      </c>
      <c r="C52" s="10">
        <v>0</v>
      </c>
      <c r="D52" s="10">
        <v>29</v>
      </c>
      <c r="E52" s="10">
        <v>11</v>
      </c>
      <c r="F52" s="10">
        <v>11</v>
      </c>
      <c r="G52" s="10">
        <v>10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18</v>
      </c>
      <c r="O52" s="10">
        <f t="shared" ref="O52:O54" si="12">SUM(C52:N52)</f>
        <v>79</v>
      </c>
    </row>
    <row r="53" spans="1:18" x14ac:dyDescent="0.25">
      <c r="A53" s="1" t="s">
        <v>14</v>
      </c>
      <c r="B53" s="12" t="s">
        <v>165</v>
      </c>
      <c r="C53" s="10">
        <v>3</v>
      </c>
      <c r="D53" s="10">
        <v>27</v>
      </c>
      <c r="E53" s="10">
        <v>183</v>
      </c>
      <c r="F53" s="10">
        <v>36</v>
      </c>
      <c r="G53" s="10">
        <v>35</v>
      </c>
      <c r="H53" s="10">
        <v>38</v>
      </c>
      <c r="I53" s="10">
        <v>33</v>
      </c>
      <c r="J53" s="10">
        <v>33</v>
      </c>
      <c r="K53" s="10">
        <v>37</v>
      </c>
      <c r="L53" s="10">
        <v>0</v>
      </c>
      <c r="M53" s="10">
        <v>0</v>
      </c>
      <c r="N53" s="10">
        <v>16</v>
      </c>
      <c r="O53" s="10">
        <f t="shared" si="12"/>
        <v>441</v>
      </c>
      <c r="P53" s="68" t="s">
        <v>14</v>
      </c>
      <c r="Q53" s="24">
        <f>SUM(C54:I54)</f>
        <v>292</v>
      </c>
      <c r="R53" s="68" t="s">
        <v>14</v>
      </c>
    </row>
    <row r="54" spans="1:18" x14ac:dyDescent="0.25">
      <c r="A54" s="1" t="s">
        <v>14</v>
      </c>
      <c r="B54" s="12" t="s">
        <v>169</v>
      </c>
      <c r="C54" s="10">
        <v>117</v>
      </c>
      <c r="D54" s="10">
        <v>28</v>
      </c>
      <c r="E54" s="10">
        <v>29</v>
      </c>
      <c r="F54" s="10">
        <v>30</v>
      </c>
      <c r="G54" s="10">
        <v>36</v>
      </c>
      <c r="H54" s="10">
        <v>19</v>
      </c>
      <c r="I54" s="10">
        <v>33</v>
      </c>
      <c r="J54" s="10">
        <v>18</v>
      </c>
      <c r="K54" s="10">
        <v>28</v>
      </c>
      <c r="L54" s="10">
        <v>27</v>
      </c>
      <c r="M54" s="10">
        <v>27</v>
      </c>
      <c r="N54" s="10">
        <v>26</v>
      </c>
      <c r="O54" s="10">
        <f t="shared" si="12"/>
        <v>418</v>
      </c>
    </row>
    <row r="55" spans="1:18" x14ac:dyDescent="0.25">
      <c r="A55" s="1" t="s">
        <v>14</v>
      </c>
      <c r="B55" s="12" t="s">
        <v>14</v>
      </c>
      <c r="C55" s="10" t="s">
        <v>14</v>
      </c>
      <c r="D55" s="10" t="s">
        <v>14</v>
      </c>
      <c r="E55" s="10" t="s">
        <v>14</v>
      </c>
      <c r="F55" s="10" t="s">
        <v>14</v>
      </c>
      <c r="G55" s="10" t="s">
        <v>14</v>
      </c>
      <c r="H55" s="10"/>
      <c r="I55" s="10" t="s">
        <v>14</v>
      </c>
      <c r="J55" s="10" t="s">
        <v>14</v>
      </c>
      <c r="K55" s="10" t="s">
        <v>14</v>
      </c>
      <c r="L55" s="10" t="s">
        <v>14</v>
      </c>
      <c r="M55" s="10" t="s">
        <v>14</v>
      </c>
      <c r="N55" s="10" t="s">
        <v>14</v>
      </c>
      <c r="O55" s="10" t="s">
        <v>14</v>
      </c>
    </row>
    <row r="56" spans="1:18" x14ac:dyDescent="0.25">
      <c r="A56" s="1" t="s">
        <v>14</v>
      </c>
      <c r="B56" s="12" t="s">
        <v>176</v>
      </c>
      <c r="C56" s="10">
        <v>33</v>
      </c>
      <c r="D56" s="10">
        <v>28</v>
      </c>
      <c r="E56" s="10">
        <v>27</v>
      </c>
      <c r="F56" s="10">
        <v>30</v>
      </c>
      <c r="G56" s="10">
        <v>28</v>
      </c>
      <c r="H56" s="10">
        <v>28</v>
      </c>
      <c r="I56" s="10">
        <v>25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f t="shared" ref="O56" si="13">SUM(C56:N56)</f>
        <v>199</v>
      </c>
    </row>
    <row r="57" spans="1:18" x14ac:dyDescent="0.25">
      <c r="A57" s="1"/>
      <c r="B57" s="1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8" x14ac:dyDescent="0.2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Q58" s="63" t="s">
        <v>138</v>
      </c>
    </row>
    <row r="59" spans="1:18" x14ac:dyDescent="0.25">
      <c r="A59" s="5" t="s">
        <v>45</v>
      </c>
      <c r="B59" s="11" t="s">
        <v>23</v>
      </c>
      <c r="C59" s="11" t="s">
        <v>24</v>
      </c>
      <c r="D59" s="11" t="s">
        <v>25</v>
      </c>
      <c r="E59" s="11" t="s">
        <v>26</v>
      </c>
      <c r="F59" s="11" t="s">
        <v>27</v>
      </c>
      <c r="G59" s="11" t="s">
        <v>28</v>
      </c>
      <c r="H59" s="11" t="s">
        <v>29</v>
      </c>
      <c r="I59" s="11" t="s">
        <v>30</v>
      </c>
      <c r="J59" s="11" t="s">
        <v>31</v>
      </c>
      <c r="K59" s="11" t="s">
        <v>32</v>
      </c>
      <c r="L59" s="11" t="s">
        <v>33</v>
      </c>
      <c r="M59" s="11" t="s">
        <v>34</v>
      </c>
      <c r="N59" s="11" t="s">
        <v>35</v>
      </c>
      <c r="O59" s="11" t="s">
        <v>21</v>
      </c>
      <c r="Q59" s="69" t="s">
        <v>23</v>
      </c>
    </row>
    <row r="60" spans="1:18" x14ac:dyDescent="0.25">
      <c r="A60" s="5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Q60" s="69"/>
    </row>
    <row r="61" spans="1:18" x14ac:dyDescent="0.25">
      <c r="A61" s="1" t="s">
        <v>171</v>
      </c>
      <c r="B61" s="75">
        <v>2017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f>SUM(C61:N61)</f>
        <v>0</v>
      </c>
      <c r="Q61" s="77">
        <f>SUM(C63:I63)</f>
        <v>2495</v>
      </c>
    </row>
    <row r="62" spans="1:18" x14ac:dyDescent="0.25">
      <c r="A62" s="1"/>
      <c r="B62" s="76">
        <v>2018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f t="shared" ref="O62:O63" si="14">SUM(C62:N62)</f>
        <v>0</v>
      </c>
    </row>
    <row r="63" spans="1:18" x14ac:dyDescent="0.25">
      <c r="A63" s="1"/>
      <c r="B63" s="76">
        <v>2019</v>
      </c>
      <c r="C63" s="10">
        <v>244</v>
      </c>
      <c r="D63" s="10">
        <v>868</v>
      </c>
      <c r="E63" s="10">
        <v>787</v>
      </c>
      <c r="F63" s="10">
        <v>188</v>
      </c>
      <c r="G63" s="10">
        <v>143</v>
      </c>
      <c r="H63" s="10">
        <v>138</v>
      </c>
      <c r="I63" s="10">
        <v>127</v>
      </c>
      <c r="J63" s="10">
        <v>139</v>
      </c>
      <c r="K63" s="10">
        <v>162</v>
      </c>
      <c r="L63" s="10">
        <v>125</v>
      </c>
      <c r="M63" s="10">
        <v>141</v>
      </c>
      <c r="N63" s="10">
        <v>195</v>
      </c>
      <c r="O63" s="10">
        <f t="shared" si="14"/>
        <v>3257</v>
      </c>
    </row>
    <row r="64" spans="1:18" x14ac:dyDescent="0.25">
      <c r="A64" s="1"/>
      <c r="B64" s="76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x14ac:dyDescent="0.25">
      <c r="A65" s="1"/>
      <c r="B65" s="76">
        <v>2020</v>
      </c>
      <c r="C65" s="10">
        <v>239</v>
      </c>
      <c r="D65" s="10">
        <v>299</v>
      </c>
      <c r="E65" s="10">
        <v>317</v>
      </c>
      <c r="F65" s="10">
        <v>337</v>
      </c>
      <c r="G65" s="10">
        <v>166</v>
      </c>
      <c r="H65" s="10">
        <v>141</v>
      </c>
      <c r="I65" s="10">
        <v>124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f>SUM(C65:N65)</f>
        <v>1623</v>
      </c>
    </row>
    <row r="66" spans="1:15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ht="15.75" x14ac:dyDescent="0.25">
      <c r="A68" s="19"/>
      <c r="C68" s="20"/>
      <c r="G68" s="20"/>
    </row>
    <row r="69" spans="1:15" ht="15.75" x14ac:dyDescent="0.25">
      <c r="C69" s="20"/>
      <c r="G69" s="20"/>
    </row>
    <row r="70" spans="1:15" ht="15.75" x14ac:dyDescent="0.25">
      <c r="C70" s="20"/>
      <c r="G70" s="20"/>
    </row>
    <row r="71" spans="1:15" x14ac:dyDescent="0.25">
      <c r="A71" s="5" t="s">
        <v>45</v>
      </c>
      <c r="B71" s="11" t="s">
        <v>23</v>
      </c>
      <c r="C71" s="11" t="s">
        <v>24</v>
      </c>
      <c r="D71" s="11" t="s">
        <v>25</v>
      </c>
      <c r="E71" s="11" t="s">
        <v>26</v>
      </c>
      <c r="F71" s="11" t="s">
        <v>27</v>
      </c>
      <c r="G71" s="11" t="s">
        <v>28</v>
      </c>
      <c r="H71" s="11" t="s">
        <v>29</v>
      </c>
      <c r="I71" s="11" t="s">
        <v>30</v>
      </c>
      <c r="J71" s="11" t="s">
        <v>31</v>
      </c>
      <c r="K71" s="11" t="s">
        <v>32</v>
      </c>
      <c r="L71" s="11" t="s">
        <v>33</v>
      </c>
      <c r="M71" s="11" t="s">
        <v>34</v>
      </c>
      <c r="N71" s="11" t="s">
        <v>35</v>
      </c>
      <c r="O71" s="11" t="s">
        <v>21</v>
      </c>
    </row>
    <row r="72" spans="1:15" ht="15.75" x14ac:dyDescent="0.25">
      <c r="A72" s="13"/>
      <c r="D72" s="21"/>
      <c r="E72" s="21"/>
      <c r="F72" s="21"/>
      <c r="G72" s="20"/>
    </row>
    <row r="73" spans="1:15" x14ac:dyDescent="0.25">
      <c r="A73" s="1" t="s">
        <v>0</v>
      </c>
      <c r="B73" s="78">
        <v>2017</v>
      </c>
      <c r="C73" s="62">
        <v>104</v>
      </c>
      <c r="D73" s="62">
        <v>104</v>
      </c>
      <c r="E73" s="62">
        <v>104</v>
      </c>
      <c r="F73" s="62">
        <v>104</v>
      </c>
      <c r="G73" s="62">
        <v>104</v>
      </c>
      <c r="H73" s="62">
        <v>104</v>
      </c>
      <c r="I73" s="62">
        <v>104</v>
      </c>
      <c r="J73" s="62">
        <v>104</v>
      </c>
      <c r="K73" s="62">
        <v>104</v>
      </c>
      <c r="L73" s="62">
        <v>104</v>
      </c>
      <c r="M73" s="62">
        <v>104</v>
      </c>
      <c r="N73" s="62">
        <v>104</v>
      </c>
      <c r="O73" s="10">
        <f>SUM(C73:N73)</f>
        <v>1248</v>
      </c>
    </row>
    <row r="74" spans="1:15" x14ac:dyDescent="0.25">
      <c r="A74" s="1" t="s">
        <v>1</v>
      </c>
      <c r="B74" s="78">
        <v>2017</v>
      </c>
      <c r="C74" s="62">
        <v>5763</v>
      </c>
      <c r="D74" s="62">
        <v>4497</v>
      </c>
      <c r="E74" s="62">
        <v>4356</v>
      </c>
      <c r="F74" s="62">
        <v>3483</v>
      </c>
      <c r="G74" s="62">
        <v>2824</v>
      </c>
      <c r="H74" s="62">
        <v>2804</v>
      </c>
      <c r="I74" s="62">
        <v>2332</v>
      </c>
      <c r="J74" s="62">
        <v>2813</v>
      </c>
      <c r="K74" s="62">
        <v>3366</v>
      </c>
      <c r="L74" s="62">
        <v>3886</v>
      </c>
      <c r="M74" s="62">
        <v>4339</v>
      </c>
      <c r="N74" s="62">
        <v>5375</v>
      </c>
      <c r="O74" s="10">
        <f t="shared" ref="O74:O82" si="15">SUM(C74:N74)</f>
        <v>45838</v>
      </c>
    </row>
    <row r="75" spans="1:15" x14ac:dyDescent="0.25">
      <c r="A75" s="1" t="s">
        <v>2</v>
      </c>
      <c r="B75" s="78">
        <v>2017</v>
      </c>
      <c r="C75" s="62">
        <v>13606</v>
      </c>
      <c r="D75" s="62">
        <v>9781</v>
      </c>
      <c r="E75" s="62">
        <v>9369</v>
      </c>
      <c r="F75" s="62">
        <v>7069</v>
      </c>
      <c r="G75" s="62">
        <v>5837</v>
      </c>
      <c r="H75" s="62">
        <v>5870</v>
      </c>
      <c r="I75" s="62">
        <v>5299</v>
      </c>
      <c r="J75" s="62">
        <v>5876</v>
      </c>
      <c r="K75" s="62">
        <v>7074</v>
      </c>
      <c r="L75" s="62">
        <v>8258</v>
      </c>
      <c r="M75" s="62">
        <v>9389</v>
      </c>
      <c r="N75" s="62">
        <v>11646</v>
      </c>
      <c r="O75" s="10">
        <f t="shared" si="15"/>
        <v>99074</v>
      </c>
    </row>
    <row r="76" spans="1:15" x14ac:dyDescent="0.25">
      <c r="A76" s="1" t="s">
        <v>3</v>
      </c>
      <c r="B76" s="78">
        <v>2017</v>
      </c>
      <c r="C76" s="62">
        <v>0</v>
      </c>
      <c r="D76" s="62">
        <v>0</v>
      </c>
      <c r="E76" s="62">
        <v>51</v>
      </c>
      <c r="F76" s="62">
        <v>46</v>
      </c>
      <c r="G76" s="62">
        <v>44</v>
      </c>
      <c r="H76" s="62">
        <v>47</v>
      </c>
      <c r="I76" s="62">
        <v>0</v>
      </c>
      <c r="J76" s="62">
        <v>84</v>
      </c>
      <c r="K76" s="62">
        <v>43</v>
      </c>
      <c r="L76" s="62">
        <v>46</v>
      </c>
      <c r="M76" s="62">
        <v>45</v>
      </c>
      <c r="N76" s="62">
        <v>51</v>
      </c>
      <c r="O76" s="10">
        <f t="shared" si="15"/>
        <v>457</v>
      </c>
    </row>
    <row r="77" spans="1:15" x14ac:dyDescent="0.25">
      <c r="A77" s="1" t="s">
        <v>4</v>
      </c>
      <c r="B77" s="78">
        <v>2017</v>
      </c>
      <c r="C77" s="62">
        <v>780</v>
      </c>
      <c r="D77" s="62">
        <v>713</v>
      </c>
      <c r="E77" s="62">
        <v>784</v>
      </c>
      <c r="F77" s="62">
        <v>802</v>
      </c>
      <c r="G77" s="62">
        <v>813</v>
      </c>
      <c r="H77" s="62">
        <v>531</v>
      </c>
      <c r="I77" s="62">
        <v>625</v>
      </c>
      <c r="J77" s="62">
        <v>763</v>
      </c>
      <c r="K77" s="62">
        <v>798</v>
      </c>
      <c r="L77" s="62">
        <v>814</v>
      </c>
      <c r="M77" s="62">
        <v>716</v>
      </c>
      <c r="N77" s="62">
        <v>753</v>
      </c>
      <c r="O77" s="10">
        <f t="shared" si="15"/>
        <v>8892</v>
      </c>
    </row>
    <row r="78" spans="1:15" x14ac:dyDescent="0.25">
      <c r="A78" s="1" t="s">
        <v>4</v>
      </c>
      <c r="B78" s="78">
        <v>2017</v>
      </c>
      <c r="C78" s="62">
        <v>2182</v>
      </c>
      <c r="D78" s="62">
        <v>1826</v>
      </c>
      <c r="E78" s="62">
        <v>1714</v>
      </c>
      <c r="F78" s="62">
        <v>1407</v>
      </c>
      <c r="G78" s="62">
        <v>448</v>
      </c>
      <c r="H78" s="62">
        <v>148</v>
      </c>
      <c r="I78" s="62">
        <v>221</v>
      </c>
      <c r="J78" s="62">
        <f>221+73</f>
        <v>294</v>
      </c>
      <c r="K78" s="62">
        <v>502</v>
      </c>
      <c r="L78" s="62">
        <v>1696</v>
      </c>
      <c r="M78" s="62">
        <v>1791</v>
      </c>
      <c r="N78" s="62">
        <v>2077</v>
      </c>
      <c r="O78" s="10">
        <f t="shared" si="15"/>
        <v>14306</v>
      </c>
    </row>
    <row r="79" spans="1:15" x14ac:dyDescent="0.25">
      <c r="A79" s="1" t="s">
        <v>5</v>
      </c>
      <c r="B79" s="78">
        <v>2017</v>
      </c>
      <c r="C79" s="62">
        <v>13</v>
      </c>
      <c r="D79" s="62">
        <v>12</v>
      </c>
      <c r="E79" s="62">
        <v>12</v>
      </c>
      <c r="F79" s="62">
        <v>13</v>
      </c>
      <c r="G79" s="62">
        <v>13</v>
      </c>
      <c r="H79" s="62">
        <v>13</v>
      </c>
      <c r="I79" s="62">
        <v>13</v>
      </c>
      <c r="J79" s="62">
        <v>12</v>
      </c>
      <c r="K79" s="62">
        <v>13</v>
      </c>
      <c r="L79" s="62">
        <v>14</v>
      </c>
      <c r="M79" s="62">
        <v>13</v>
      </c>
      <c r="N79" s="62">
        <v>14</v>
      </c>
      <c r="O79" s="10">
        <f t="shared" si="15"/>
        <v>155</v>
      </c>
    </row>
    <row r="80" spans="1:15" x14ac:dyDescent="0.25">
      <c r="A80" s="1" t="s">
        <v>6</v>
      </c>
      <c r="B80" s="78">
        <v>2017</v>
      </c>
      <c r="C80" s="62">
        <v>727</v>
      </c>
      <c r="D80" s="62">
        <v>579</v>
      </c>
      <c r="E80" s="62">
        <v>565</v>
      </c>
      <c r="F80" s="62">
        <v>470</v>
      </c>
      <c r="G80" s="62">
        <v>399</v>
      </c>
      <c r="H80" s="62">
        <v>436</v>
      </c>
      <c r="I80" s="62">
        <v>406</v>
      </c>
      <c r="J80" s="62">
        <v>406</v>
      </c>
      <c r="K80" s="62">
        <v>472</v>
      </c>
      <c r="L80" s="62">
        <v>550</v>
      </c>
      <c r="M80" s="62">
        <v>584</v>
      </c>
      <c r="N80" s="62">
        <v>684</v>
      </c>
      <c r="O80" s="10">
        <f t="shared" si="15"/>
        <v>6278</v>
      </c>
    </row>
    <row r="81" spans="1:15" x14ac:dyDescent="0.25">
      <c r="A81" s="1" t="s">
        <v>7</v>
      </c>
      <c r="B81" s="78">
        <v>2017</v>
      </c>
      <c r="C81" s="62">
        <v>3985</v>
      </c>
      <c r="D81" s="62">
        <v>2892</v>
      </c>
      <c r="E81" s="62">
        <v>2421</v>
      </c>
      <c r="F81" s="62">
        <v>1376</v>
      </c>
      <c r="G81" s="62">
        <v>407</v>
      </c>
      <c r="H81" s="62">
        <v>491</v>
      </c>
      <c r="I81" s="62">
        <v>842</v>
      </c>
      <c r="J81" s="62">
        <v>607</v>
      </c>
      <c r="K81" s="62">
        <v>176</v>
      </c>
      <c r="L81" s="62">
        <v>189</v>
      </c>
      <c r="M81" s="62">
        <v>563</v>
      </c>
      <c r="N81" s="62">
        <v>549</v>
      </c>
      <c r="O81" s="10">
        <f t="shared" si="15"/>
        <v>14498</v>
      </c>
    </row>
    <row r="82" spans="1:15" x14ac:dyDescent="0.25">
      <c r="A82" s="1" t="s">
        <v>8</v>
      </c>
      <c r="B82" s="78">
        <v>2017</v>
      </c>
      <c r="C82" s="62">
        <v>1</v>
      </c>
      <c r="D82" s="62">
        <v>3</v>
      </c>
      <c r="E82" s="62">
        <v>1</v>
      </c>
      <c r="F82" s="62">
        <v>2</v>
      </c>
      <c r="G82" s="62">
        <v>5</v>
      </c>
      <c r="H82" s="62">
        <v>2</v>
      </c>
      <c r="I82" s="62">
        <v>2</v>
      </c>
      <c r="J82" s="62">
        <v>2</v>
      </c>
      <c r="K82" s="62">
        <v>1</v>
      </c>
      <c r="L82" s="62">
        <v>1</v>
      </c>
      <c r="M82" s="62">
        <v>1</v>
      </c>
      <c r="N82" s="62">
        <v>0</v>
      </c>
      <c r="O82" s="10">
        <f t="shared" si="15"/>
        <v>21</v>
      </c>
    </row>
    <row r="83" spans="1:15" ht="15.75" x14ac:dyDescent="0.25">
      <c r="C83" s="23"/>
      <c r="D83" s="23"/>
      <c r="E83" s="24"/>
      <c r="F83" s="24"/>
      <c r="G83" s="23"/>
      <c r="H83" s="24"/>
      <c r="I83" s="24"/>
      <c r="J83" s="24"/>
      <c r="K83" s="24"/>
      <c r="L83" s="24"/>
      <c r="M83" s="24"/>
      <c r="N83" s="24"/>
      <c r="O83" s="68"/>
    </row>
    <row r="84" spans="1:15" x14ac:dyDescent="0.25">
      <c r="C84" s="10">
        <f t="shared" ref="C84:O84" si="16">SUM(C73:C82)</f>
        <v>27161</v>
      </c>
      <c r="D84" s="10">
        <f t="shared" si="16"/>
        <v>20407</v>
      </c>
      <c r="E84" s="10">
        <f t="shared" si="16"/>
        <v>19377</v>
      </c>
      <c r="F84" s="10">
        <f t="shared" si="16"/>
        <v>14772</v>
      </c>
      <c r="G84" s="10">
        <f t="shared" si="16"/>
        <v>10894</v>
      </c>
      <c r="H84" s="10">
        <f t="shared" si="16"/>
        <v>10446</v>
      </c>
      <c r="I84" s="10">
        <f t="shared" si="16"/>
        <v>9844</v>
      </c>
      <c r="J84" s="10">
        <f t="shared" si="16"/>
        <v>10961</v>
      </c>
      <c r="K84" s="10">
        <f t="shared" si="16"/>
        <v>12549</v>
      </c>
      <c r="L84" s="10">
        <f t="shared" si="16"/>
        <v>15558</v>
      </c>
      <c r="M84" s="10">
        <f t="shared" si="16"/>
        <v>17545</v>
      </c>
      <c r="N84" s="10">
        <f t="shared" si="16"/>
        <v>21253</v>
      </c>
      <c r="O84" s="10">
        <f t="shared" si="16"/>
        <v>190767</v>
      </c>
    </row>
    <row r="86" spans="1:15" x14ac:dyDescent="0.25">
      <c r="A86" s="5" t="s">
        <v>45</v>
      </c>
      <c r="B86" s="11" t="s">
        <v>23</v>
      </c>
      <c r="C86" s="11" t="s">
        <v>24</v>
      </c>
      <c r="D86" s="11" t="s">
        <v>25</v>
      </c>
      <c r="E86" s="11" t="s">
        <v>26</v>
      </c>
      <c r="F86" s="11" t="s">
        <v>27</v>
      </c>
      <c r="G86" s="11" t="s">
        <v>28</v>
      </c>
      <c r="H86" s="11" t="s">
        <v>29</v>
      </c>
      <c r="I86" s="11" t="s">
        <v>30</v>
      </c>
      <c r="J86" s="11" t="s">
        <v>31</v>
      </c>
      <c r="K86" s="11" t="s">
        <v>32</v>
      </c>
      <c r="L86" s="11" t="s">
        <v>33</v>
      </c>
      <c r="M86" s="11" t="s">
        <v>34</v>
      </c>
      <c r="N86" s="11" t="s">
        <v>35</v>
      </c>
      <c r="O86" s="11" t="s">
        <v>21</v>
      </c>
    </row>
    <row r="87" spans="1:15" ht="15.75" x14ac:dyDescent="0.25">
      <c r="A87" s="13"/>
      <c r="D87" s="21"/>
      <c r="E87" s="21"/>
      <c r="F87" s="21"/>
      <c r="G87" s="20"/>
    </row>
    <row r="88" spans="1:15" x14ac:dyDescent="0.25">
      <c r="A88" s="1" t="s">
        <v>0</v>
      </c>
      <c r="B88" s="78">
        <v>2018</v>
      </c>
      <c r="C88" s="62">
        <v>104</v>
      </c>
      <c r="D88" s="62">
        <v>104</v>
      </c>
      <c r="E88" s="62">
        <v>104</v>
      </c>
      <c r="F88" s="62">
        <v>104</v>
      </c>
      <c r="G88" s="62">
        <v>104</v>
      </c>
      <c r="H88" s="62">
        <v>104</v>
      </c>
      <c r="I88" s="62">
        <v>104</v>
      </c>
      <c r="J88" s="62">
        <v>104</v>
      </c>
      <c r="K88" s="62">
        <v>104</v>
      </c>
      <c r="L88" s="62">
        <v>104</v>
      </c>
      <c r="M88" s="62">
        <v>104</v>
      </c>
      <c r="N88" s="62">
        <v>104</v>
      </c>
      <c r="O88" s="10">
        <f>SUM(C88:N88)</f>
        <v>1248</v>
      </c>
    </row>
    <row r="89" spans="1:15" x14ac:dyDescent="0.25">
      <c r="A89" s="1" t="s">
        <v>1</v>
      </c>
      <c r="B89" s="78">
        <v>2018</v>
      </c>
      <c r="C89" s="62">
        <v>5371</v>
      </c>
      <c r="D89" s="62">
        <v>4752</v>
      </c>
      <c r="E89" s="62">
        <v>3839</v>
      </c>
      <c r="F89" s="62">
        <v>3374</v>
      </c>
      <c r="G89" s="62">
        <v>3221</v>
      </c>
      <c r="H89" s="62">
        <v>3743</v>
      </c>
      <c r="I89" s="62">
        <v>3272</v>
      </c>
      <c r="J89" s="62">
        <v>3372</v>
      </c>
      <c r="K89" s="62">
        <v>4165</v>
      </c>
      <c r="L89" s="62">
        <v>4216</v>
      </c>
      <c r="M89" s="62">
        <v>4194</v>
      </c>
      <c r="N89" s="62">
        <v>5938</v>
      </c>
      <c r="O89" s="10">
        <f t="shared" ref="O89:O97" si="17">SUM(C89:N89)</f>
        <v>49457</v>
      </c>
    </row>
    <row r="90" spans="1:15" x14ac:dyDescent="0.25">
      <c r="A90" s="1" t="s">
        <v>2</v>
      </c>
      <c r="B90" s="78">
        <v>2018</v>
      </c>
      <c r="C90" s="62">
        <v>12350</v>
      </c>
      <c r="D90" s="62">
        <v>10326</v>
      </c>
      <c r="E90" s="62">
        <v>11896</v>
      </c>
      <c r="F90" s="62">
        <v>9641</v>
      </c>
      <c r="G90" s="62">
        <v>6572</v>
      </c>
      <c r="H90" s="62">
        <v>6702</v>
      </c>
      <c r="I90" s="62">
        <v>6057</v>
      </c>
      <c r="J90" s="62">
        <v>6456</v>
      </c>
      <c r="K90" s="62">
        <v>7563</v>
      </c>
      <c r="L90" s="62">
        <v>7554</v>
      </c>
      <c r="M90" s="62">
        <v>9076</v>
      </c>
      <c r="N90" s="62">
        <v>10606</v>
      </c>
      <c r="O90" s="10">
        <f t="shared" si="17"/>
        <v>104799</v>
      </c>
    </row>
    <row r="91" spans="1:15" x14ac:dyDescent="0.25">
      <c r="A91" s="1" t="s">
        <v>3</v>
      </c>
      <c r="B91" s="78">
        <v>2018</v>
      </c>
      <c r="C91" s="62">
        <v>0</v>
      </c>
      <c r="D91" s="62">
        <v>3</v>
      </c>
      <c r="E91" s="62">
        <v>135</v>
      </c>
      <c r="F91" s="62">
        <v>45</v>
      </c>
      <c r="G91" s="62">
        <v>44</v>
      </c>
      <c r="H91" s="62">
        <v>47</v>
      </c>
      <c r="I91" s="62">
        <v>43</v>
      </c>
      <c r="J91" s="62">
        <v>41</v>
      </c>
      <c r="K91" s="62">
        <v>47</v>
      </c>
      <c r="L91" s="62">
        <v>43</v>
      </c>
      <c r="M91" s="62">
        <v>44</v>
      </c>
      <c r="N91" s="62">
        <v>43</v>
      </c>
      <c r="O91" s="10">
        <f t="shared" si="17"/>
        <v>535</v>
      </c>
    </row>
    <row r="92" spans="1:15" x14ac:dyDescent="0.25">
      <c r="A92" s="1" t="s">
        <v>4</v>
      </c>
      <c r="B92" s="78">
        <v>2018</v>
      </c>
      <c r="C92" s="62">
        <v>712</v>
      </c>
      <c r="D92" s="62">
        <v>740</v>
      </c>
      <c r="E92" s="62">
        <v>660</v>
      </c>
      <c r="F92" s="62">
        <v>751</v>
      </c>
      <c r="G92" s="62">
        <v>790</v>
      </c>
      <c r="H92" s="62">
        <v>923</v>
      </c>
      <c r="I92" s="62">
        <v>823</v>
      </c>
      <c r="J92" s="62">
        <v>786</v>
      </c>
      <c r="K92" s="62">
        <v>834</v>
      </c>
      <c r="L92" s="62">
        <v>722</v>
      </c>
      <c r="M92" s="62">
        <v>692</v>
      </c>
      <c r="N92" s="62">
        <v>565</v>
      </c>
      <c r="O92" s="10">
        <f t="shared" si="17"/>
        <v>8998</v>
      </c>
    </row>
    <row r="93" spans="1:15" x14ac:dyDescent="0.25">
      <c r="A93" s="1" t="s">
        <v>4</v>
      </c>
      <c r="B93" s="78">
        <v>2018</v>
      </c>
      <c r="C93" s="62">
        <v>1987</v>
      </c>
      <c r="D93" s="62">
        <v>1876</v>
      </c>
      <c r="E93" s="62">
        <v>1620</v>
      </c>
      <c r="F93" s="62">
        <v>1469</v>
      </c>
      <c r="G93" s="62">
        <v>953</v>
      </c>
      <c r="H93" s="62">
        <v>472</v>
      </c>
      <c r="I93" s="62">
        <v>1101</v>
      </c>
      <c r="J93" s="62">
        <v>191</v>
      </c>
      <c r="K93" s="62">
        <v>301</v>
      </c>
      <c r="L93" s="62">
        <v>365</v>
      </c>
      <c r="M93" s="62">
        <v>1731</v>
      </c>
      <c r="N93" s="62">
        <f>1731+1745</f>
        <v>3476</v>
      </c>
      <c r="O93" s="10">
        <f t="shared" si="17"/>
        <v>15542</v>
      </c>
    </row>
    <row r="94" spans="1:15" x14ac:dyDescent="0.25">
      <c r="A94" s="1" t="s">
        <v>5</v>
      </c>
      <c r="B94" s="78">
        <v>2018</v>
      </c>
      <c r="C94" s="62">
        <v>12</v>
      </c>
      <c r="D94" s="62">
        <v>14</v>
      </c>
      <c r="E94" s="62">
        <v>12</v>
      </c>
      <c r="F94" s="62">
        <v>13</v>
      </c>
      <c r="G94" s="62">
        <v>12</v>
      </c>
      <c r="H94" s="62">
        <v>14</v>
      </c>
      <c r="I94" s="62">
        <v>13</v>
      </c>
      <c r="J94" s="62">
        <v>13</v>
      </c>
      <c r="K94" s="62">
        <v>14</v>
      </c>
      <c r="L94" s="62">
        <v>13</v>
      </c>
      <c r="M94" s="62">
        <v>13</v>
      </c>
      <c r="N94" s="62">
        <v>14</v>
      </c>
      <c r="O94" s="10">
        <f t="shared" si="17"/>
        <v>157</v>
      </c>
    </row>
    <row r="95" spans="1:15" x14ac:dyDescent="0.25">
      <c r="A95" s="1" t="s">
        <v>6</v>
      </c>
      <c r="B95" s="78">
        <v>2018</v>
      </c>
      <c r="C95" s="62">
        <v>649</v>
      </c>
      <c r="D95" s="62">
        <v>686</v>
      </c>
      <c r="E95" s="62">
        <v>606</v>
      </c>
      <c r="F95" s="62">
        <v>549</v>
      </c>
      <c r="G95" s="62">
        <v>416</v>
      </c>
      <c r="H95" s="62">
        <v>407</v>
      </c>
      <c r="I95" s="62">
        <v>363</v>
      </c>
      <c r="J95" s="62">
        <v>409</v>
      </c>
      <c r="K95" s="62">
        <v>523</v>
      </c>
      <c r="L95" s="62">
        <v>521</v>
      </c>
      <c r="M95" s="62">
        <v>565</v>
      </c>
      <c r="N95" s="62">
        <v>650</v>
      </c>
      <c r="O95" s="10">
        <f t="shared" si="17"/>
        <v>6344</v>
      </c>
    </row>
    <row r="96" spans="1:15" x14ac:dyDescent="0.25">
      <c r="A96" s="1" t="s">
        <v>7</v>
      </c>
      <c r="B96" s="78">
        <v>2018</v>
      </c>
      <c r="C96" s="62">
        <v>1227</v>
      </c>
      <c r="D96" s="62">
        <v>720</v>
      </c>
      <c r="E96" s="62">
        <v>417</v>
      </c>
      <c r="F96" s="62">
        <v>674</v>
      </c>
      <c r="G96" s="62">
        <v>477</v>
      </c>
      <c r="H96" s="62">
        <v>435</v>
      </c>
      <c r="I96" s="62">
        <v>323</v>
      </c>
      <c r="J96" s="62">
        <v>394</v>
      </c>
      <c r="K96" s="62">
        <v>488</v>
      </c>
      <c r="L96" s="62">
        <v>363</v>
      </c>
      <c r="M96" s="62">
        <v>544</v>
      </c>
      <c r="N96" s="62">
        <v>431</v>
      </c>
      <c r="O96" s="10">
        <f t="shared" si="17"/>
        <v>6493</v>
      </c>
    </row>
    <row r="97" spans="1:15" x14ac:dyDescent="0.25">
      <c r="A97" s="1" t="s">
        <v>8</v>
      </c>
      <c r="B97" s="78">
        <v>2018</v>
      </c>
      <c r="C97" s="62">
        <v>2</v>
      </c>
      <c r="D97" s="62">
        <v>3</v>
      </c>
      <c r="E97" s="62">
        <v>0</v>
      </c>
      <c r="F97" s="62">
        <v>4</v>
      </c>
      <c r="G97" s="62">
        <v>13</v>
      </c>
      <c r="H97" s="62">
        <v>19</v>
      </c>
      <c r="I97" s="62">
        <v>15</v>
      </c>
      <c r="J97" s="62">
        <v>14</v>
      </c>
      <c r="K97" s="62">
        <v>24</v>
      </c>
      <c r="L97" s="62">
        <v>21</v>
      </c>
      <c r="M97" s="62">
        <v>1</v>
      </c>
      <c r="N97" s="62">
        <v>47</v>
      </c>
      <c r="O97" s="10">
        <f t="shared" si="17"/>
        <v>163</v>
      </c>
    </row>
    <row r="98" spans="1:15" ht="15.75" x14ac:dyDescent="0.25">
      <c r="C98" s="23"/>
      <c r="D98" s="24"/>
      <c r="E98" s="24"/>
      <c r="F98" s="24"/>
      <c r="G98" s="23"/>
      <c r="H98" s="24"/>
      <c r="I98" s="24"/>
      <c r="J98" s="24"/>
      <c r="K98" s="24"/>
      <c r="L98" s="24"/>
      <c r="M98" s="24"/>
      <c r="N98" s="24"/>
      <c r="O98" s="68"/>
    </row>
    <row r="99" spans="1:15" x14ac:dyDescent="0.25">
      <c r="C99" s="10">
        <f t="shared" ref="C99:O99" si="18">SUM(C88:C97)</f>
        <v>22414</v>
      </c>
      <c r="D99" s="10">
        <f t="shared" si="18"/>
        <v>19224</v>
      </c>
      <c r="E99" s="10">
        <f t="shared" si="18"/>
        <v>19289</v>
      </c>
      <c r="F99" s="10">
        <f t="shared" si="18"/>
        <v>16624</v>
      </c>
      <c r="G99" s="10">
        <f t="shared" si="18"/>
        <v>12602</v>
      </c>
      <c r="H99" s="10">
        <f t="shared" si="18"/>
        <v>12866</v>
      </c>
      <c r="I99" s="10">
        <f t="shared" si="18"/>
        <v>12114</v>
      </c>
      <c r="J99" s="10">
        <f t="shared" si="18"/>
        <v>11780</v>
      </c>
      <c r="K99" s="10">
        <f t="shared" si="18"/>
        <v>14063</v>
      </c>
      <c r="L99" s="10">
        <f t="shared" si="18"/>
        <v>13922</v>
      </c>
      <c r="M99" s="10">
        <f t="shared" si="18"/>
        <v>16964</v>
      </c>
      <c r="N99" s="10">
        <f t="shared" si="18"/>
        <v>21874</v>
      </c>
      <c r="O99" s="10">
        <f t="shared" si="18"/>
        <v>193736</v>
      </c>
    </row>
    <row r="101" spans="1:15" x14ac:dyDescent="0.25">
      <c r="A101" s="5" t="s">
        <v>45</v>
      </c>
      <c r="B101" s="11" t="s">
        <v>23</v>
      </c>
      <c r="C101" s="11" t="s">
        <v>24</v>
      </c>
      <c r="D101" s="11" t="s">
        <v>25</v>
      </c>
      <c r="E101" s="11" t="s">
        <v>26</v>
      </c>
      <c r="F101" s="11" t="s">
        <v>27</v>
      </c>
      <c r="G101" s="11" t="s">
        <v>28</v>
      </c>
      <c r="H101" s="11" t="s">
        <v>29</v>
      </c>
      <c r="I101" s="11" t="s">
        <v>30</v>
      </c>
      <c r="J101" s="11" t="s">
        <v>31</v>
      </c>
      <c r="K101" s="11" t="s">
        <v>32</v>
      </c>
      <c r="L101" s="11" t="s">
        <v>33</v>
      </c>
      <c r="M101" s="11" t="s">
        <v>34</v>
      </c>
      <c r="N101" s="11" t="s">
        <v>35</v>
      </c>
      <c r="O101" s="11" t="s">
        <v>21</v>
      </c>
    </row>
    <row r="102" spans="1:15" ht="15.75" x14ac:dyDescent="0.25">
      <c r="A102" s="13"/>
      <c r="D102" s="21"/>
      <c r="E102" s="21"/>
      <c r="F102" s="21"/>
      <c r="G102" s="20"/>
    </row>
    <row r="103" spans="1:15" x14ac:dyDescent="0.25">
      <c r="A103" s="1" t="s">
        <v>0</v>
      </c>
      <c r="B103" s="78">
        <v>2019</v>
      </c>
      <c r="C103" s="62">
        <v>104</v>
      </c>
      <c r="D103" s="62">
        <v>104</v>
      </c>
      <c r="E103" s="62">
        <v>104</v>
      </c>
      <c r="F103" s="62">
        <v>104</v>
      </c>
      <c r="G103" s="62">
        <v>104</v>
      </c>
      <c r="H103" s="62">
        <v>104</v>
      </c>
      <c r="I103" s="62">
        <v>104</v>
      </c>
      <c r="J103" s="62">
        <v>104</v>
      </c>
      <c r="K103" s="62">
        <v>104</v>
      </c>
      <c r="L103" s="62">
        <v>104</v>
      </c>
      <c r="M103" s="62">
        <v>104</v>
      </c>
      <c r="N103" s="62">
        <v>104</v>
      </c>
      <c r="O103" s="10">
        <f>SUM(C103:N103)</f>
        <v>1248</v>
      </c>
    </row>
    <row r="104" spans="1:15" x14ac:dyDescent="0.25">
      <c r="A104" s="1" t="s">
        <v>1</v>
      </c>
      <c r="B104" s="78">
        <v>2019</v>
      </c>
      <c r="C104" s="62">
        <v>6141</v>
      </c>
      <c r="D104" s="62">
        <v>4905</v>
      </c>
      <c r="E104" s="62">
        <v>4920</v>
      </c>
      <c r="F104" s="62">
        <v>3699</v>
      </c>
      <c r="G104" s="62">
        <v>3243</v>
      </c>
      <c r="H104" s="62">
        <v>3053</v>
      </c>
      <c r="I104" s="62">
        <v>2825</v>
      </c>
      <c r="J104" s="62">
        <v>3867</v>
      </c>
      <c r="K104" s="62">
        <f>3867+2802</f>
        <v>6669</v>
      </c>
      <c r="L104" s="62">
        <v>3765</v>
      </c>
      <c r="M104" s="62">
        <v>3838</v>
      </c>
      <c r="N104" s="62">
        <v>4058</v>
      </c>
      <c r="O104" s="10">
        <f t="shared" ref="O104:O112" si="19">SUM(C104:N104)</f>
        <v>50983</v>
      </c>
    </row>
    <row r="105" spans="1:15" x14ac:dyDescent="0.25">
      <c r="A105" s="1" t="s">
        <v>2</v>
      </c>
      <c r="B105" s="78">
        <v>2019</v>
      </c>
      <c r="C105" s="62">
        <v>12022</v>
      </c>
      <c r="D105" s="62">
        <v>10659</v>
      </c>
      <c r="E105" s="62">
        <f>10659+9876</f>
        <v>20535</v>
      </c>
      <c r="F105" s="62">
        <v>7567</v>
      </c>
      <c r="G105" s="62">
        <v>6799</v>
      </c>
      <c r="H105" s="62">
        <f>5219+6799</f>
        <v>12018</v>
      </c>
      <c r="I105" s="62">
        <v>5344</v>
      </c>
      <c r="J105" s="62">
        <v>7376</v>
      </c>
      <c r="K105" s="62">
        <f>7376+5030</f>
        <v>12406</v>
      </c>
      <c r="L105" s="62">
        <v>7042</v>
      </c>
      <c r="M105" s="62">
        <v>8128</v>
      </c>
      <c r="N105" s="62">
        <v>9368</v>
      </c>
      <c r="O105" s="10">
        <f t="shared" si="19"/>
        <v>119264</v>
      </c>
    </row>
    <row r="106" spans="1:15" x14ac:dyDescent="0.25">
      <c r="A106" s="1" t="s">
        <v>3</v>
      </c>
      <c r="B106" s="78">
        <v>2019</v>
      </c>
      <c r="C106" s="62">
        <v>54</v>
      </c>
      <c r="D106" s="62">
        <v>3</v>
      </c>
      <c r="E106" s="62">
        <v>135</v>
      </c>
      <c r="F106" s="62">
        <v>132</v>
      </c>
      <c r="G106" s="62">
        <v>46</v>
      </c>
      <c r="H106" s="62">
        <v>47</v>
      </c>
      <c r="I106" s="62">
        <v>43</v>
      </c>
      <c r="J106" s="62">
        <v>41</v>
      </c>
      <c r="K106" s="62">
        <v>47</v>
      </c>
      <c r="L106" s="62">
        <v>45</v>
      </c>
      <c r="M106" s="62">
        <v>44</v>
      </c>
      <c r="N106" s="62">
        <v>43</v>
      </c>
      <c r="O106" s="10">
        <f t="shared" si="19"/>
        <v>680</v>
      </c>
    </row>
    <row r="107" spans="1:15" x14ac:dyDescent="0.25">
      <c r="A107" s="1" t="s">
        <v>4</v>
      </c>
      <c r="B107" s="78">
        <v>2019</v>
      </c>
      <c r="C107" s="62">
        <v>774</v>
      </c>
      <c r="D107" s="62">
        <v>764</v>
      </c>
      <c r="E107" s="62">
        <v>660</v>
      </c>
      <c r="F107" s="62">
        <v>802</v>
      </c>
      <c r="G107" s="62">
        <v>819</v>
      </c>
      <c r="H107" s="62">
        <v>884</v>
      </c>
      <c r="I107" s="62">
        <v>823</v>
      </c>
      <c r="J107" s="62">
        <v>823</v>
      </c>
      <c r="K107" s="62">
        <v>1222</v>
      </c>
      <c r="L107" s="62">
        <v>1167</v>
      </c>
      <c r="M107" s="62">
        <v>802</v>
      </c>
      <c r="N107" s="62">
        <v>630</v>
      </c>
      <c r="O107" s="10">
        <f t="shared" si="19"/>
        <v>10170</v>
      </c>
    </row>
    <row r="108" spans="1:15" x14ac:dyDescent="0.25">
      <c r="A108" s="1" t="s">
        <v>4</v>
      </c>
      <c r="B108" s="78">
        <v>2019</v>
      </c>
      <c r="C108" s="62">
        <v>2193</v>
      </c>
      <c r="D108" s="62">
        <v>1937</v>
      </c>
      <c r="E108" s="62">
        <v>1620</v>
      </c>
      <c r="F108" s="62">
        <f>1620+1213</f>
        <v>2833</v>
      </c>
      <c r="G108" s="62">
        <v>980</v>
      </c>
      <c r="H108" s="62">
        <v>121</v>
      </c>
      <c r="I108" s="62">
        <v>1101</v>
      </c>
      <c r="J108" s="62">
        <f>113+109</f>
        <v>222</v>
      </c>
      <c r="K108" s="62">
        <v>109</v>
      </c>
      <c r="L108" s="62">
        <v>314</v>
      </c>
      <c r="M108" s="62">
        <v>1633</v>
      </c>
      <c r="N108" s="62">
        <v>1642</v>
      </c>
      <c r="O108" s="10">
        <f t="shared" si="19"/>
        <v>14705</v>
      </c>
    </row>
    <row r="109" spans="1:15" x14ac:dyDescent="0.25">
      <c r="A109" s="1" t="s">
        <v>5</v>
      </c>
      <c r="B109" s="78">
        <v>2019</v>
      </c>
      <c r="C109" s="62">
        <v>14</v>
      </c>
      <c r="D109" s="62">
        <v>14</v>
      </c>
      <c r="E109" s="62">
        <f>14+12</f>
        <v>26</v>
      </c>
      <c r="F109" s="62">
        <v>13</v>
      </c>
      <c r="G109" s="62">
        <v>13</v>
      </c>
      <c r="H109" s="62">
        <v>15</v>
      </c>
      <c r="I109" s="62">
        <v>13</v>
      </c>
      <c r="J109" s="62">
        <v>13</v>
      </c>
      <c r="K109" s="62">
        <v>15</v>
      </c>
      <c r="L109" s="62">
        <v>13</v>
      </c>
      <c r="M109" s="62">
        <v>14</v>
      </c>
      <c r="N109" s="62">
        <v>13</v>
      </c>
      <c r="O109" s="10">
        <f t="shared" si="19"/>
        <v>176</v>
      </c>
    </row>
    <row r="110" spans="1:15" x14ac:dyDescent="0.25">
      <c r="A110" s="1" t="s">
        <v>6</v>
      </c>
      <c r="B110" s="78">
        <v>2019</v>
      </c>
      <c r="C110" s="62">
        <v>758</v>
      </c>
      <c r="D110" s="62">
        <v>708</v>
      </c>
      <c r="E110" s="62">
        <v>471</v>
      </c>
      <c r="F110" s="62">
        <v>549</v>
      </c>
      <c r="G110" s="62">
        <v>362</v>
      </c>
      <c r="H110" s="62">
        <v>435</v>
      </c>
      <c r="I110" s="62">
        <v>372</v>
      </c>
      <c r="J110" s="62">
        <v>421</v>
      </c>
      <c r="K110" s="62">
        <v>501</v>
      </c>
      <c r="L110" s="62">
        <v>526</v>
      </c>
      <c r="M110" s="62">
        <v>542</v>
      </c>
      <c r="N110" s="62">
        <v>612</v>
      </c>
      <c r="O110" s="10">
        <f t="shared" si="19"/>
        <v>6257</v>
      </c>
    </row>
    <row r="111" spans="1:15" x14ac:dyDescent="0.25">
      <c r="A111" s="1" t="s">
        <v>7</v>
      </c>
      <c r="B111" s="78">
        <v>2019</v>
      </c>
      <c r="C111" s="62">
        <v>509</v>
      </c>
      <c r="D111" s="62">
        <v>743</v>
      </c>
      <c r="E111" s="62">
        <v>603</v>
      </c>
      <c r="F111" s="62">
        <v>312</v>
      </c>
      <c r="G111" s="62">
        <v>496</v>
      </c>
      <c r="H111" s="62">
        <v>253</v>
      </c>
      <c r="I111" s="62">
        <v>259</v>
      </c>
      <c r="J111" s="62">
        <v>155</v>
      </c>
      <c r="K111" s="62">
        <v>170</v>
      </c>
      <c r="L111" s="62">
        <v>268</v>
      </c>
      <c r="M111" s="62">
        <v>434</v>
      </c>
      <c r="N111" s="62">
        <v>445</v>
      </c>
      <c r="O111" s="10">
        <f t="shared" si="19"/>
        <v>4647</v>
      </c>
    </row>
    <row r="112" spans="1:15" x14ac:dyDescent="0.25">
      <c r="A112" s="1" t="s">
        <v>8</v>
      </c>
      <c r="B112" s="78">
        <v>2019</v>
      </c>
      <c r="C112" s="62">
        <v>24</v>
      </c>
      <c r="D112" s="62">
        <v>0</v>
      </c>
      <c r="E112" s="62">
        <v>42</v>
      </c>
      <c r="F112" s="62">
        <v>16</v>
      </c>
      <c r="G112" s="62">
        <v>14</v>
      </c>
      <c r="H112" s="62">
        <v>19</v>
      </c>
      <c r="I112" s="62">
        <v>13</v>
      </c>
      <c r="J112" s="62">
        <v>17</v>
      </c>
      <c r="K112" s="62">
        <v>17</v>
      </c>
      <c r="L112" s="62">
        <v>16</v>
      </c>
      <c r="M112" s="62">
        <v>17</v>
      </c>
      <c r="N112" s="62">
        <v>20</v>
      </c>
      <c r="O112" s="10">
        <f t="shared" si="19"/>
        <v>215</v>
      </c>
    </row>
    <row r="113" spans="1:15" ht="15.75" x14ac:dyDescent="0.25">
      <c r="C113" s="23"/>
      <c r="D113" s="24"/>
      <c r="E113" s="24"/>
      <c r="F113" s="24"/>
      <c r="G113" s="23"/>
      <c r="H113" s="24"/>
      <c r="I113" s="24"/>
      <c r="J113" s="24"/>
      <c r="K113" s="24"/>
      <c r="L113" s="24"/>
      <c r="M113" s="24"/>
      <c r="N113" s="24"/>
      <c r="O113" s="68"/>
    </row>
    <row r="114" spans="1:15" x14ac:dyDescent="0.25">
      <c r="C114" s="10">
        <f t="shared" ref="C114:O114" si="20">SUM(C103:C112)</f>
        <v>22593</v>
      </c>
      <c r="D114" s="10">
        <f t="shared" si="20"/>
        <v>19837</v>
      </c>
      <c r="E114" s="10">
        <f t="shared" si="20"/>
        <v>29116</v>
      </c>
      <c r="F114" s="10">
        <f t="shared" si="20"/>
        <v>16027</v>
      </c>
      <c r="G114" s="10">
        <f t="shared" si="20"/>
        <v>12876</v>
      </c>
      <c r="H114" s="10">
        <f t="shared" si="20"/>
        <v>16949</v>
      </c>
      <c r="I114" s="10">
        <f t="shared" si="20"/>
        <v>10897</v>
      </c>
      <c r="J114" s="10">
        <f t="shared" si="20"/>
        <v>13039</v>
      </c>
      <c r="K114" s="10">
        <f t="shared" si="20"/>
        <v>21260</v>
      </c>
      <c r="L114" s="10">
        <f t="shared" si="20"/>
        <v>13260</v>
      </c>
      <c r="M114" s="10">
        <f t="shared" si="20"/>
        <v>15556</v>
      </c>
      <c r="N114" s="10">
        <f t="shared" si="20"/>
        <v>16935</v>
      </c>
      <c r="O114" s="10">
        <f t="shared" si="20"/>
        <v>208345</v>
      </c>
    </row>
    <row r="116" spans="1:15" x14ac:dyDescent="0.25">
      <c r="A116" s="5" t="s">
        <v>45</v>
      </c>
      <c r="B116" s="11" t="s">
        <v>23</v>
      </c>
      <c r="C116" s="11" t="s">
        <v>24</v>
      </c>
      <c r="D116" s="11" t="s">
        <v>25</v>
      </c>
      <c r="E116" s="11" t="s">
        <v>26</v>
      </c>
      <c r="F116" s="11" t="s">
        <v>27</v>
      </c>
      <c r="G116" s="11" t="s">
        <v>28</v>
      </c>
      <c r="H116" s="11" t="s">
        <v>29</v>
      </c>
      <c r="I116" s="11" t="s">
        <v>30</v>
      </c>
      <c r="J116" s="11" t="s">
        <v>31</v>
      </c>
      <c r="K116" s="11" t="s">
        <v>32</v>
      </c>
      <c r="L116" s="11" t="s">
        <v>33</v>
      </c>
      <c r="M116" s="11" t="s">
        <v>34</v>
      </c>
      <c r="N116" s="11" t="s">
        <v>35</v>
      </c>
      <c r="O116" s="11" t="s">
        <v>21</v>
      </c>
    </row>
    <row r="117" spans="1:15" ht="15.75" x14ac:dyDescent="0.25">
      <c r="A117" s="13"/>
      <c r="D117" s="21"/>
      <c r="E117" s="21"/>
      <c r="F117" s="21"/>
      <c r="G117" s="20"/>
    </row>
    <row r="118" spans="1:15" x14ac:dyDescent="0.25">
      <c r="A118" s="1" t="s">
        <v>0</v>
      </c>
      <c r="B118" s="26">
        <v>2020</v>
      </c>
      <c r="C118" s="62">
        <v>104</v>
      </c>
      <c r="D118" s="62">
        <v>104</v>
      </c>
      <c r="E118" s="62">
        <v>104</v>
      </c>
      <c r="F118" s="62">
        <v>104</v>
      </c>
      <c r="G118" s="62">
        <v>104</v>
      </c>
      <c r="H118" s="62">
        <v>104</v>
      </c>
      <c r="I118" s="62">
        <v>104</v>
      </c>
      <c r="J118" s="62">
        <v>0</v>
      </c>
      <c r="K118" s="62">
        <v>0</v>
      </c>
      <c r="L118" s="62">
        <v>0</v>
      </c>
      <c r="M118" s="62">
        <v>0</v>
      </c>
      <c r="N118" s="62">
        <v>0</v>
      </c>
      <c r="O118" s="10">
        <f>SUM(C118:N118)</f>
        <v>728</v>
      </c>
    </row>
    <row r="119" spans="1:15" x14ac:dyDescent="0.25">
      <c r="A119" s="1" t="s">
        <v>1</v>
      </c>
      <c r="B119" s="78">
        <v>2020</v>
      </c>
      <c r="C119" s="62">
        <v>4822</v>
      </c>
      <c r="D119" s="62">
        <v>4055</v>
      </c>
      <c r="E119" s="62">
        <v>3500</v>
      </c>
      <c r="F119" s="62">
        <v>3458</v>
      </c>
      <c r="G119" s="62">
        <v>2817</v>
      </c>
      <c r="H119" s="62">
        <v>2514</v>
      </c>
      <c r="I119" s="62">
        <v>2155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10">
        <f t="shared" ref="O119:O127" si="21">SUM(C119:N119)</f>
        <v>23321</v>
      </c>
    </row>
    <row r="120" spans="1:15" x14ac:dyDescent="0.25">
      <c r="A120" s="1" t="s">
        <v>2</v>
      </c>
      <c r="B120" s="78">
        <v>2020</v>
      </c>
      <c r="C120" s="62">
        <v>10757</v>
      </c>
      <c r="D120" s="62">
        <v>9270</v>
      </c>
      <c r="E120" s="62">
        <v>7892</v>
      </c>
      <c r="F120" s="62">
        <v>7237</v>
      </c>
      <c r="G120" s="62">
        <v>5441</v>
      </c>
      <c r="H120" s="62">
        <v>4900</v>
      </c>
      <c r="I120" s="62">
        <v>4039</v>
      </c>
      <c r="J120" s="62">
        <v>0</v>
      </c>
      <c r="K120" s="62">
        <v>0</v>
      </c>
      <c r="L120" s="62">
        <v>0</v>
      </c>
      <c r="M120" s="62">
        <v>0</v>
      </c>
      <c r="N120" s="62">
        <v>0</v>
      </c>
      <c r="O120" s="10">
        <f t="shared" si="21"/>
        <v>49536</v>
      </c>
    </row>
    <row r="121" spans="1:15" x14ac:dyDescent="0.25">
      <c r="A121" s="1" t="s">
        <v>3</v>
      </c>
      <c r="B121" s="78">
        <v>2020</v>
      </c>
      <c r="C121" s="62">
        <v>52</v>
      </c>
      <c r="D121" s="62">
        <v>45</v>
      </c>
      <c r="E121" s="62">
        <v>42</v>
      </c>
      <c r="F121" s="62">
        <v>50</v>
      </c>
      <c r="G121" s="62">
        <v>46</v>
      </c>
      <c r="H121" s="62">
        <v>48</v>
      </c>
      <c r="I121" s="62">
        <v>42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10">
        <f t="shared" si="21"/>
        <v>325</v>
      </c>
    </row>
    <row r="122" spans="1:15" x14ac:dyDescent="0.25">
      <c r="A122" s="1" t="s">
        <v>4</v>
      </c>
      <c r="B122" s="78">
        <v>2020</v>
      </c>
      <c r="C122" s="62">
        <v>697</v>
      </c>
      <c r="D122" s="62">
        <v>615</v>
      </c>
      <c r="E122" s="62">
        <v>682</v>
      </c>
      <c r="F122" s="62">
        <v>829</v>
      </c>
      <c r="G122" s="62">
        <v>825</v>
      </c>
      <c r="H122" s="62">
        <v>905</v>
      </c>
      <c r="I122" s="62">
        <v>825</v>
      </c>
      <c r="J122" s="62">
        <v>0</v>
      </c>
      <c r="K122" s="62">
        <v>0</v>
      </c>
      <c r="L122" s="62">
        <v>0</v>
      </c>
      <c r="M122" s="62">
        <v>0</v>
      </c>
      <c r="N122" s="62">
        <v>0</v>
      </c>
      <c r="O122" s="10">
        <f t="shared" si="21"/>
        <v>5378</v>
      </c>
    </row>
    <row r="123" spans="1:15" x14ac:dyDescent="0.25">
      <c r="A123" s="1" t="s">
        <v>4</v>
      </c>
      <c r="B123" s="78">
        <v>2020</v>
      </c>
      <c r="C123" s="62">
        <v>1651</v>
      </c>
      <c r="D123" s="62">
        <v>1350</v>
      </c>
      <c r="E123" s="62">
        <v>1186</v>
      </c>
      <c r="F123" s="62">
        <v>1242</v>
      </c>
      <c r="G123" s="62">
        <v>1032</v>
      </c>
      <c r="H123" s="62">
        <v>349</v>
      </c>
      <c r="I123" s="62">
        <v>107</v>
      </c>
      <c r="J123" s="62">
        <v>0</v>
      </c>
      <c r="K123" s="62">
        <v>0</v>
      </c>
      <c r="L123" s="62">
        <v>0</v>
      </c>
      <c r="M123" s="62">
        <v>0</v>
      </c>
      <c r="N123" s="62">
        <v>0</v>
      </c>
      <c r="O123" s="10">
        <f t="shared" si="21"/>
        <v>6917</v>
      </c>
    </row>
    <row r="124" spans="1:15" x14ac:dyDescent="0.25">
      <c r="A124" s="1" t="s">
        <v>5</v>
      </c>
      <c r="B124" s="78">
        <v>2020</v>
      </c>
      <c r="C124" s="62">
        <v>15</v>
      </c>
      <c r="D124" s="62">
        <v>12</v>
      </c>
      <c r="E124" s="62">
        <v>11</v>
      </c>
      <c r="F124" s="62">
        <v>15</v>
      </c>
      <c r="G124" s="62">
        <v>14</v>
      </c>
      <c r="H124" s="62">
        <v>14</v>
      </c>
      <c r="I124" s="62">
        <v>11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10">
        <f t="shared" si="21"/>
        <v>92</v>
      </c>
    </row>
    <row r="125" spans="1:15" x14ac:dyDescent="0.25">
      <c r="A125" s="1" t="s">
        <v>6</v>
      </c>
      <c r="B125" s="78">
        <v>2020</v>
      </c>
      <c r="C125" s="62">
        <v>717</v>
      </c>
      <c r="D125" s="62">
        <v>540</v>
      </c>
      <c r="E125" s="62">
        <v>505</v>
      </c>
      <c r="F125" s="62">
        <v>521</v>
      </c>
      <c r="G125" s="62">
        <v>424</v>
      </c>
      <c r="H125" s="62">
        <v>401</v>
      </c>
      <c r="I125" s="62">
        <v>359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10">
        <f t="shared" si="21"/>
        <v>3467</v>
      </c>
    </row>
    <row r="126" spans="1:15" x14ac:dyDescent="0.25">
      <c r="A126" s="1" t="s">
        <v>7</v>
      </c>
      <c r="B126" s="78">
        <v>2020</v>
      </c>
      <c r="C126" s="62">
        <v>1090</v>
      </c>
      <c r="D126" s="62">
        <v>1348</v>
      </c>
      <c r="E126" s="62">
        <v>466</v>
      </c>
      <c r="F126" s="62">
        <v>394</v>
      </c>
      <c r="G126" s="62">
        <v>343</v>
      </c>
      <c r="H126" s="62">
        <v>298</v>
      </c>
      <c r="I126" s="62">
        <v>295</v>
      </c>
      <c r="J126" s="62">
        <v>0</v>
      </c>
      <c r="K126" s="62">
        <v>0</v>
      </c>
      <c r="L126" s="62">
        <v>0</v>
      </c>
      <c r="M126" s="62">
        <v>0</v>
      </c>
      <c r="N126" s="62">
        <v>0</v>
      </c>
      <c r="O126" s="10">
        <f t="shared" si="21"/>
        <v>4234</v>
      </c>
    </row>
    <row r="127" spans="1:15" x14ac:dyDescent="0.25">
      <c r="A127" s="1" t="s">
        <v>8</v>
      </c>
      <c r="B127" s="78">
        <v>2020</v>
      </c>
      <c r="C127" s="62">
        <v>28</v>
      </c>
      <c r="D127" s="62">
        <v>26</v>
      </c>
      <c r="E127" s="62">
        <v>21</v>
      </c>
      <c r="F127" s="62">
        <v>20</v>
      </c>
      <c r="G127" s="62">
        <v>18</v>
      </c>
      <c r="H127" s="62">
        <v>13</v>
      </c>
      <c r="I127" s="62">
        <v>11</v>
      </c>
      <c r="J127" s="62">
        <v>0</v>
      </c>
      <c r="K127" s="62">
        <v>0</v>
      </c>
      <c r="L127" s="62">
        <v>0</v>
      </c>
      <c r="M127" s="62">
        <v>0</v>
      </c>
      <c r="N127" s="62">
        <v>0</v>
      </c>
      <c r="O127" s="10">
        <f t="shared" si="21"/>
        <v>137</v>
      </c>
    </row>
    <row r="128" spans="1:15" ht="15.75" x14ac:dyDescent="0.25">
      <c r="C128" s="23"/>
      <c r="D128" s="24"/>
      <c r="E128" s="24"/>
      <c r="F128" s="24"/>
      <c r="G128" s="23"/>
      <c r="H128" s="24"/>
      <c r="I128" s="24"/>
      <c r="J128" s="24"/>
      <c r="K128" s="24"/>
      <c r="L128" s="24"/>
      <c r="M128" s="24"/>
      <c r="N128" s="24"/>
      <c r="O128" s="68"/>
    </row>
    <row r="129" spans="1:15" x14ac:dyDescent="0.25">
      <c r="C129" s="10">
        <f t="shared" ref="C129:O129" si="22">SUM(C118:C127)</f>
        <v>19933</v>
      </c>
      <c r="D129" s="10">
        <f t="shared" si="22"/>
        <v>17365</v>
      </c>
      <c r="E129" s="10">
        <f t="shared" si="22"/>
        <v>14409</v>
      </c>
      <c r="F129" s="10">
        <f t="shared" si="22"/>
        <v>13870</v>
      </c>
      <c r="G129" s="10">
        <f t="shared" si="22"/>
        <v>11064</v>
      </c>
      <c r="H129" s="10">
        <f t="shared" si="22"/>
        <v>9546</v>
      </c>
      <c r="I129" s="10">
        <f t="shared" si="22"/>
        <v>7948</v>
      </c>
      <c r="J129" s="10">
        <f t="shared" si="22"/>
        <v>0</v>
      </c>
      <c r="K129" s="10">
        <f t="shared" si="22"/>
        <v>0</v>
      </c>
      <c r="L129" s="10">
        <f t="shared" si="22"/>
        <v>0</v>
      </c>
      <c r="M129" s="10">
        <f t="shared" si="22"/>
        <v>0</v>
      </c>
      <c r="N129" s="10">
        <f t="shared" si="22"/>
        <v>0</v>
      </c>
      <c r="O129" s="10">
        <f t="shared" si="22"/>
        <v>94135</v>
      </c>
    </row>
    <row r="131" spans="1:15" x14ac:dyDescent="0.25">
      <c r="A131" s="5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5.75" x14ac:dyDescent="0.25">
      <c r="A132" s="13"/>
      <c r="D132" s="21"/>
      <c r="E132" s="21"/>
      <c r="F132" s="21"/>
      <c r="G132" s="20"/>
    </row>
    <row r="133" spans="1:15" x14ac:dyDescent="0.25">
      <c r="A133" s="1"/>
      <c r="B133" s="26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10"/>
    </row>
    <row r="134" spans="1:15" x14ac:dyDescent="0.25">
      <c r="A134" s="1"/>
      <c r="B134" s="26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10"/>
    </row>
    <row r="135" spans="1:15" x14ac:dyDescent="0.25">
      <c r="A135" s="1"/>
      <c r="B135" s="26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10"/>
    </row>
    <row r="136" spans="1:15" x14ac:dyDescent="0.25">
      <c r="A136" s="1"/>
      <c r="B136" s="26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10"/>
    </row>
    <row r="137" spans="1:15" x14ac:dyDescent="0.25">
      <c r="A137" s="1"/>
      <c r="B137" s="26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10"/>
    </row>
    <row r="138" spans="1:15" x14ac:dyDescent="0.25">
      <c r="A138" s="1"/>
      <c r="B138" s="26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10"/>
    </row>
    <row r="139" spans="1:15" x14ac:dyDescent="0.25">
      <c r="A139" s="1"/>
      <c r="B139" s="26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10"/>
    </row>
    <row r="140" spans="1:15" x14ac:dyDescent="0.25">
      <c r="A140" s="1"/>
      <c r="B140" s="26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10"/>
    </row>
    <row r="141" spans="1:15" x14ac:dyDescent="0.25">
      <c r="A141" s="1"/>
      <c r="B141" s="26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10"/>
    </row>
    <row r="142" spans="1:15" x14ac:dyDescent="0.25">
      <c r="A142" s="1"/>
      <c r="B142" s="26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10"/>
    </row>
    <row r="143" spans="1:15" ht="15.75" x14ac:dyDescent="0.25">
      <c r="C143" s="23"/>
      <c r="D143" s="23"/>
      <c r="E143" s="24"/>
      <c r="F143" s="24"/>
      <c r="G143" s="23"/>
      <c r="H143" s="24"/>
      <c r="I143" s="24"/>
      <c r="J143" s="24"/>
      <c r="K143" s="24"/>
      <c r="L143" s="24"/>
      <c r="M143" s="24"/>
      <c r="N143" s="24"/>
      <c r="O143" s="68"/>
    </row>
    <row r="144" spans="1:15" x14ac:dyDescent="0.25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</sheetData>
  <pageMargins left="0.2" right="0.2" top="0.75" bottom="0.75" header="0.3" footer="0.3"/>
  <pageSetup paperSize="5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59"/>
  <sheetViews>
    <sheetView zoomScaleNormal="100" workbookViewId="0">
      <selection sqref="A1:A1048576"/>
    </sheetView>
  </sheetViews>
  <sheetFormatPr defaultRowHeight="15" x14ac:dyDescent="0.25"/>
  <cols>
    <col min="2" max="2" width="24.140625" customWidth="1"/>
    <col min="3" max="3" width="11.7109375" style="98" customWidth="1"/>
    <col min="4" max="4" width="2.7109375" style="26" customWidth="1"/>
    <col min="5" max="5" width="12.5703125" style="55" customWidth="1"/>
    <col min="6" max="6" width="12.42578125" style="55" customWidth="1"/>
    <col min="7" max="7" width="2.7109375" style="55" customWidth="1"/>
    <col min="8" max="8" width="13.140625" style="55" customWidth="1"/>
    <col min="9" max="9" width="11.7109375" style="55" customWidth="1"/>
    <col min="10" max="10" width="13.140625" style="55" customWidth="1"/>
    <col min="11" max="11" width="18.7109375" style="55" customWidth="1"/>
  </cols>
  <sheetData>
    <row r="1" spans="1:11" x14ac:dyDescent="0.25">
      <c r="A1" s="9" t="s">
        <v>48</v>
      </c>
      <c r="B1" s="13"/>
      <c r="C1" s="48"/>
      <c r="E1" s="15"/>
      <c r="F1" s="15"/>
      <c r="H1" s="15"/>
      <c r="I1" s="15"/>
      <c r="J1" s="15"/>
    </row>
    <row r="2" spans="1:11" x14ac:dyDescent="0.25">
      <c r="A2" s="9" t="s">
        <v>181</v>
      </c>
      <c r="B2" s="13"/>
      <c r="C2" s="48"/>
      <c r="E2" s="15"/>
      <c r="F2" s="15"/>
      <c r="H2" s="15"/>
      <c r="I2" s="15"/>
      <c r="J2" s="15"/>
      <c r="K2" s="3"/>
    </row>
    <row r="3" spans="1:11" x14ac:dyDescent="0.25">
      <c r="A3" s="1"/>
      <c r="B3" s="1"/>
      <c r="C3" s="48"/>
      <c r="E3" s="15"/>
      <c r="F3" s="15"/>
      <c r="H3" s="15"/>
      <c r="I3" s="15"/>
      <c r="J3" s="15"/>
      <c r="K3" s="56"/>
    </row>
    <row r="4" spans="1:11" x14ac:dyDescent="0.25">
      <c r="A4" s="2"/>
      <c r="B4" s="2"/>
      <c r="C4" s="97"/>
      <c r="E4" s="3" t="s">
        <v>20</v>
      </c>
      <c r="F4" s="3" t="s">
        <v>16</v>
      </c>
      <c r="H4" s="3" t="s">
        <v>18</v>
      </c>
      <c r="I4" s="3" t="s">
        <v>38</v>
      </c>
      <c r="J4" s="3" t="s">
        <v>17</v>
      </c>
      <c r="K4" s="57" t="s">
        <v>47</v>
      </c>
    </row>
    <row r="5" spans="1:11" x14ac:dyDescent="0.25">
      <c r="A5" s="5" t="s">
        <v>15</v>
      </c>
      <c r="B5" s="5" t="s">
        <v>19</v>
      </c>
      <c r="C5" s="50" t="s">
        <v>20</v>
      </c>
      <c r="E5" s="6" t="s">
        <v>22</v>
      </c>
      <c r="F5" s="6" t="s">
        <v>22</v>
      </c>
      <c r="H5" s="6" t="s">
        <v>22</v>
      </c>
      <c r="I5" s="6" t="s">
        <v>118</v>
      </c>
      <c r="J5" s="6" t="s">
        <v>119</v>
      </c>
      <c r="K5" s="56" t="s">
        <v>118</v>
      </c>
    </row>
    <row r="7" spans="1:11" x14ac:dyDescent="0.25">
      <c r="A7" s="1" t="s">
        <v>24</v>
      </c>
      <c r="B7" s="26" t="s">
        <v>9</v>
      </c>
      <c r="C7" s="98">
        <f>'Natural Gas Usage'!C11</f>
        <v>2485.1</v>
      </c>
      <c r="E7" s="55">
        <v>7394.66</v>
      </c>
      <c r="F7" s="55">
        <f>H7-E7</f>
        <v>3687.2000000000007</v>
      </c>
      <c r="H7" s="55">
        <f>7394.66+3687.2</f>
        <v>11081.86</v>
      </c>
      <c r="I7" s="55">
        <f>E7/C7</f>
        <v>2.975598567462074</v>
      </c>
      <c r="J7" s="55">
        <f>F7/C7</f>
        <v>1.4837229890145269</v>
      </c>
      <c r="K7" s="55">
        <f>H7/C7</f>
        <v>4.4593215564766009</v>
      </c>
    </row>
    <row r="8" spans="1:11" x14ac:dyDescent="0.25">
      <c r="A8" s="1" t="s">
        <v>25</v>
      </c>
      <c r="B8" s="26" t="s">
        <v>9</v>
      </c>
      <c r="C8" s="98">
        <f>'Natural Gas Usage'!D11</f>
        <v>2322.5</v>
      </c>
      <c r="E8" s="55">
        <v>6910.83</v>
      </c>
      <c r="F8" s="55">
        <f t="shared" ref="F8:F18" si="0">H8-E8</f>
        <v>3521.3099999999995</v>
      </c>
      <c r="H8" s="55">
        <f>6910.83+3521.31</f>
        <v>10432.14</v>
      </c>
      <c r="I8" s="55">
        <f t="shared" ref="I8:I18" si="1">E8/C8</f>
        <v>2.9755995694294941</v>
      </c>
      <c r="J8" s="55">
        <f t="shared" ref="J8:J18" si="2">F8/C8</f>
        <v>1.516172228202368</v>
      </c>
      <c r="K8" s="55">
        <f t="shared" ref="K8:K18" si="3">H8/C8</f>
        <v>4.4917717976318619</v>
      </c>
    </row>
    <row r="9" spans="1:11" x14ac:dyDescent="0.25">
      <c r="A9" s="1" t="s">
        <v>26</v>
      </c>
      <c r="B9" s="26" t="s">
        <v>9</v>
      </c>
      <c r="C9" s="98">
        <f>'Natural Gas Usage'!E11</f>
        <v>2136.8000000000002</v>
      </c>
      <c r="E9" s="55">
        <v>6358.26</v>
      </c>
      <c r="F9" s="55">
        <f t="shared" si="0"/>
        <v>3316.83</v>
      </c>
      <c r="H9" s="55">
        <f>6358.26+3316.83</f>
        <v>9675.09</v>
      </c>
      <c r="I9" s="55">
        <f t="shared" si="1"/>
        <v>2.9755990265818042</v>
      </c>
      <c r="J9" s="55">
        <f t="shared" si="2"/>
        <v>1.5522416697865966</v>
      </c>
      <c r="K9" s="55">
        <f t="shared" si="3"/>
        <v>4.5278406963684015</v>
      </c>
    </row>
    <row r="10" spans="1:11" x14ac:dyDescent="0.25">
      <c r="A10" s="1" t="s">
        <v>41</v>
      </c>
      <c r="B10" s="26" t="s">
        <v>9</v>
      </c>
      <c r="C10" s="98">
        <f>'Natural Gas Usage'!F11</f>
        <v>1527.6</v>
      </c>
      <c r="E10" s="55">
        <v>4545.53</v>
      </c>
      <c r="F10" s="55">
        <f t="shared" si="0"/>
        <v>2120.41</v>
      </c>
      <c r="H10" s="55">
        <f>4545.53+2120.41</f>
        <v>6665.94</v>
      </c>
      <c r="I10" s="55">
        <f t="shared" si="1"/>
        <v>2.9756022518984029</v>
      </c>
      <c r="J10" s="55">
        <f t="shared" si="2"/>
        <v>1.3880662477088244</v>
      </c>
      <c r="K10" s="55">
        <f t="shared" si="3"/>
        <v>4.3636684996072272</v>
      </c>
    </row>
    <row r="11" spans="1:11" x14ac:dyDescent="0.25">
      <c r="A11" s="1" t="s">
        <v>28</v>
      </c>
      <c r="B11" s="26" t="s">
        <v>9</v>
      </c>
      <c r="C11" s="98">
        <f>'Natural Gas Usage'!G11</f>
        <v>1038.2</v>
      </c>
      <c r="E11" s="55">
        <v>3089.27</v>
      </c>
      <c r="F11" s="55">
        <f t="shared" si="0"/>
        <v>1747.98</v>
      </c>
      <c r="H11" s="55">
        <f>3089.27+1747.98</f>
        <v>4837.25</v>
      </c>
      <c r="I11" s="55">
        <f>E11/C11</f>
        <v>2.9756020034675399</v>
      </c>
      <c r="J11" s="55">
        <f t="shared" si="2"/>
        <v>1.6836640339048352</v>
      </c>
      <c r="K11" s="55">
        <f t="shared" si="3"/>
        <v>4.6592660373723751</v>
      </c>
    </row>
    <row r="12" spans="1:11" x14ac:dyDescent="0.25">
      <c r="A12" s="1" t="s">
        <v>29</v>
      </c>
      <c r="B12" s="26" t="s">
        <v>9</v>
      </c>
      <c r="C12" s="98">
        <f>'Natural Gas Usage'!H11</f>
        <v>0</v>
      </c>
      <c r="E12" s="55">
        <v>0</v>
      </c>
      <c r="F12" s="55">
        <f t="shared" si="0"/>
        <v>901.8</v>
      </c>
      <c r="H12" s="55">
        <v>901.8</v>
      </c>
      <c r="I12" s="55" t="e">
        <f>E12/C12</f>
        <v>#DIV/0!</v>
      </c>
      <c r="J12" s="55" t="e">
        <f t="shared" si="2"/>
        <v>#DIV/0!</v>
      </c>
      <c r="K12" s="55" t="e">
        <f t="shared" si="3"/>
        <v>#DIV/0!</v>
      </c>
    </row>
    <row r="13" spans="1:11" x14ac:dyDescent="0.25">
      <c r="A13" s="1" t="s">
        <v>30</v>
      </c>
      <c r="B13" s="26" t="s">
        <v>9</v>
      </c>
      <c r="C13" s="98">
        <f>'Natural Gas Usage'!I11</f>
        <v>0</v>
      </c>
      <c r="E13" s="55">
        <v>0</v>
      </c>
      <c r="F13" s="55">
        <f t="shared" si="0"/>
        <v>0</v>
      </c>
      <c r="H13" s="55">
        <v>0</v>
      </c>
      <c r="I13" s="55" t="e">
        <f t="shared" si="1"/>
        <v>#DIV/0!</v>
      </c>
      <c r="J13" s="55" t="e">
        <f t="shared" si="2"/>
        <v>#DIV/0!</v>
      </c>
      <c r="K13" s="55" t="e">
        <f t="shared" si="3"/>
        <v>#DIV/0!</v>
      </c>
    </row>
    <row r="14" spans="1:11" x14ac:dyDescent="0.25">
      <c r="A14" s="1" t="s">
        <v>31</v>
      </c>
      <c r="B14" s="26" t="s">
        <v>9</v>
      </c>
      <c r="C14" s="98">
        <f>'Natural Gas Usage'!J11</f>
        <v>0</v>
      </c>
      <c r="E14" s="55">
        <v>0</v>
      </c>
      <c r="F14" s="55">
        <f>H14-E14</f>
        <v>0</v>
      </c>
      <c r="G14" s="55" t="s">
        <v>14</v>
      </c>
      <c r="H14" s="55">
        <v>0</v>
      </c>
      <c r="I14" s="55" t="e">
        <f t="shared" si="1"/>
        <v>#DIV/0!</v>
      </c>
      <c r="J14" s="55" t="e">
        <f t="shared" si="2"/>
        <v>#DIV/0!</v>
      </c>
      <c r="K14" s="55" t="e">
        <f t="shared" si="3"/>
        <v>#DIV/0!</v>
      </c>
    </row>
    <row r="15" spans="1:11" x14ac:dyDescent="0.25">
      <c r="A15" s="1" t="s">
        <v>42</v>
      </c>
      <c r="B15" s="26" t="s">
        <v>9</v>
      </c>
      <c r="C15" s="98">
        <f>'Natural Gas Usage'!K11</f>
        <v>0</v>
      </c>
      <c r="E15" s="55">
        <v>0</v>
      </c>
      <c r="F15" s="55">
        <f t="shared" si="0"/>
        <v>0</v>
      </c>
      <c r="H15" s="55">
        <v>0</v>
      </c>
      <c r="I15" s="55" t="e">
        <f t="shared" si="1"/>
        <v>#DIV/0!</v>
      </c>
      <c r="J15" s="55" t="e">
        <f t="shared" si="2"/>
        <v>#DIV/0!</v>
      </c>
      <c r="K15" s="55" t="e">
        <f t="shared" si="3"/>
        <v>#DIV/0!</v>
      </c>
    </row>
    <row r="16" spans="1:11" x14ac:dyDescent="0.25">
      <c r="A16" s="1" t="s">
        <v>33</v>
      </c>
      <c r="B16" s="26" t="s">
        <v>9</v>
      </c>
      <c r="C16" s="98">
        <f>'Natural Gas Usage'!L11</f>
        <v>0</v>
      </c>
      <c r="E16" s="55">
        <v>0</v>
      </c>
      <c r="F16" s="55">
        <f t="shared" si="0"/>
        <v>0</v>
      </c>
      <c r="H16" s="55">
        <v>0</v>
      </c>
      <c r="I16" s="55" t="e">
        <f t="shared" si="1"/>
        <v>#DIV/0!</v>
      </c>
      <c r="J16" s="55" t="e">
        <f t="shared" si="2"/>
        <v>#DIV/0!</v>
      </c>
      <c r="K16" s="55" t="e">
        <f t="shared" si="3"/>
        <v>#DIV/0!</v>
      </c>
    </row>
    <row r="17" spans="1:11" x14ac:dyDescent="0.25">
      <c r="A17" s="1" t="s">
        <v>34</v>
      </c>
      <c r="B17" s="26" t="s">
        <v>9</v>
      </c>
      <c r="C17" s="98">
        <f>'Natural Gas Usage'!M11</f>
        <v>0</v>
      </c>
      <c r="E17" s="55">
        <v>0</v>
      </c>
      <c r="F17" s="55">
        <f t="shared" si="0"/>
        <v>0</v>
      </c>
      <c r="H17" s="55">
        <v>0</v>
      </c>
      <c r="I17" s="55" t="e">
        <f t="shared" si="1"/>
        <v>#DIV/0!</v>
      </c>
      <c r="J17" s="55" t="e">
        <f t="shared" si="2"/>
        <v>#DIV/0!</v>
      </c>
      <c r="K17" s="55" t="e">
        <f t="shared" si="3"/>
        <v>#DIV/0!</v>
      </c>
    </row>
    <row r="18" spans="1:11" x14ac:dyDescent="0.25">
      <c r="A18" s="1" t="s">
        <v>35</v>
      </c>
      <c r="B18" s="26" t="s">
        <v>9</v>
      </c>
      <c r="C18" s="98">
        <f>'Natural Gas Usage'!N11</f>
        <v>0</v>
      </c>
      <c r="E18" s="55">
        <v>0</v>
      </c>
      <c r="F18" s="55">
        <f t="shared" si="0"/>
        <v>0</v>
      </c>
      <c r="H18" s="55">
        <v>0</v>
      </c>
      <c r="I18" s="55" t="e">
        <f t="shared" si="1"/>
        <v>#DIV/0!</v>
      </c>
      <c r="J18" s="55" t="e">
        <f t="shared" si="2"/>
        <v>#DIV/0!</v>
      </c>
      <c r="K18" s="55" t="e">
        <f t="shared" si="3"/>
        <v>#DIV/0!</v>
      </c>
    </row>
    <row r="20" spans="1:11" x14ac:dyDescent="0.25">
      <c r="B20" s="37" t="s">
        <v>43</v>
      </c>
      <c r="C20" s="99">
        <f>SUM(C7:C18)</f>
        <v>9510.2000000000007</v>
      </c>
      <c r="D20" s="37"/>
      <c r="E20" s="57">
        <f>SUM(E7:E18)</f>
        <v>28298.55</v>
      </c>
      <c r="F20" s="57">
        <f>SUM(F7:F18)</f>
        <v>15295.529999999999</v>
      </c>
      <c r="G20" s="57"/>
      <c r="H20" s="57">
        <f>SUM(H7:H18)</f>
        <v>43594.080000000002</v>
      </c>
      <c r="I20" s="57">
        <f>SUM(E20/C20)</f>
        <v>2.9755998822317089</v>
      </c>
      <c r="J20" s="57">
        <f>F20/C20</f>
        <v>1.6083289520725115</v>
      </c>
      <c r="K20" s="57">
        <f>H20/C20</f>
        <v>4.5839288343042206</v>
      </c>
    </row>
    <row r="22" spans="1:11" x14ac:dyDescent="0.25">
      <c r="A22" s="2"/>
      <c r="B22" s="2"/>
      <c r="C22" s="97"/>
      <c r="E22" s="3" t="s">
        <v>20</v>
      </c>
      <c r="F22" s="3" t="s">
        <v>16</v>
      </c>
      <c r="H22" s="3" t="s">
        <v>18</v>
      </c>
      <c r="I22" s="3" t="s">
        <v>38</v>
      </c>
      <c r="J22" s="3" t="s">
        <v>17</v>
      </c>
      <c r="K22" s="57" t="s">
        <v>47</v>
      </c>
    </row>
    <row r="23" spans="1:11" x14ac:dyDescent="0.25">
      <c r="A23" s="5" t="s">
        <v>15</v>
      </c>
      <c r="B23" s="5" t="s">
        <v>19</v>
      </c>
      <c r="C23" s="50" t="s">
        <v>20</v>
      </c>
      <c r="E23" s="6" t="s">
        <v>22</v>
      </c>
      <c r="F23" s="6" t="s">
        <v>22</v>
      </c>
      <c r="H23" s="6" t="s">
        <v>22</v>
      </c>
      <c r="I23" s="6" t="s">
        <v>118</v>
      </c>
      <c r="J23" s="6" t="s">
        <v>119</v>
      </c>
      <c r="K23" s="56" t="s">
        <v>118</v>
      </c>
    </row>
    <row r="25" spans="1:11" x14ac:dyDescent="0.25">
      <c r="A25" s="1" t="s">
        <v>24</v>
      </c>
      <c r="B25" s="26" t="s">
        <v>61</v>
      </c>
      <c r="C25" s="98">
        <f>'Natural Gas Usage'!C20</f>
        <v>489.3</v>
      </c>
      <c r="E25" s="55">
        <v>1505.09</v>
      </c>
      <c r="F25" s="55">
        <f>H25-E25</f>
        <v>820.62999999999988</v>
      </c>
      <c r="H25" s="55">
        <f>820.63+1505.09</f>
        <v>2325.7199999999998</v>
      </c>
      <c r="I25" s="55">
        <f>E25/C25</f>
        <v>3.0760065399550376</v>
      </c>
      <c r="J25" s="55">
        <f>F25/C25</f>
        <v>1.6771510320866541</v>
      </c>
      <c r="K25" s="55">
        <f>H25/C25</f>
        <v>4.7531575720416921</v>
      </c>
    </row>
    <row r="26" spans="1:11" x14ac:dyDescent="0.25">
      <c r="A26" s="1" t="s">
        <v>25</v>
      </c>
      <c r="B26" s="26" t="s">
        <v>61</v>
      </c>
      <c r="C26" s="98">
        <f>'Natural Gas Usage'!D20</f>
        <v>460.3</v>
      </c>
      <c r="E26" s="55">
        <v>1415.88</v>
      </c>
      <c r="F26" s="55">
        <f t="shared" ref="F26:F36" si="4">H26-E26</f>
        <v>835.40999999999985</v>
      </c>
      <c r="H26" s="55">
        <f>1415.88+835.41</f>
        <v>2251.29</v>
      </c>
      <c r="I26" s="55">
        <f t="shared" ref="I26:I36" si="5">E26/C26</f>
        <v>3.0759939170106452</v>
      </c>
      <c r="J26" s="55">
        <f t="shared" ref="J26:J36" si="6">F26/C26</f>
        <v>1.8149250488811641</v>
      </c>
      <c r="K26" s="55">
        <f t="shared" ref="K26:K36" si="7">H26/C26</f>
        <v>4.8909189658918093</v>
      </c>
    </row>
    <row r="27" spans="1:11" x14ac:dyDescent="0.25">
      <c r="A27" s="1" t="s">
        <v>26</v>
      </c>
      <c r="B27" s="26" t="s">
        <v>61</v>
      </c>
      <c r="C27" s="98">
        <f>'Natural Gas Usage'!E20</f>
        <v>384.7</v>
      </c>
      <c r="E27" s="55">
        <v>1183.3399999999999</v>
      </c>
      <c r="F27" s="55">
        <f t="shared" si="4"/>
        <v>725.8</v>
      </c>
      <c r="H27" s="55">
        <f>1183.34+725.8</f>
        <v>1909.1399999999999</v>
      </c>
      <c r="I27" s="55">
        <f t="shared" si="5"/>
        <v>3.0760072783987522</v>
      </c>
      <c r="J27" s="55">
        <f t="shared" si="6"/>
        <v>1.8866649337145827</v>
      </c>
      <c r="K27" s="55">
        <f t="shared" si="7"/>
        <v>4.9626722121133353</v>
      </c>
    </row>
    <row r="28" spans="1:11" x14ac:dyDescent="0.25">
      <c r="A28" s="1" t="s">
        <v>41</v>
      </c>
      <c r="B28" s="26" t="s">
        <v>61</v>
      </c>
      <c r="C28" s="98">
        <f>'Natural Gas Usage'!F20</f>
        <v>342.7</v>
      </c>
      <c r="E28" s="55">
        <v>1054.1500000000001</v>
      </c>
      <c r="F28" s="55">
        <f>H28-E28</f>
        <v>604.45000000000005</v>
      </c>
      <c r="H28" s="55">
        <f>604.45+1054.15</f>
        <v>1658.6000000000001</v>
      </c>
      <c r="I28" s="55">
        <f t="shared" si="5"/>
        <v>3.0760140064196095</v>
      </c>
      <c r="J28" s="55">
        <f t="shared" si="6"/>
        <v>1.7637875693025973</v>
      </c>
      <c r="K28" s="55">
        <f t="shared" si="7"/>
        <v>4.8398015757222064</v>
      </c>
    </row>
    <row r="29" spans="1:11" x14ac:dyDescent="0.25">
      <c r="A29" s="1" t="s">
        <v>28</v>
      </c>
      <c r="B29" s="26" t="s">
        <v>61</v>
      </c>
      <c r="C29" s="98">
        <f>'Natural Gas Usage'!G20</f>
        <v>128</v>
      </c>
      <c r="E29" s="55">
        <v>393.73</v>
      </c>
      <c r="F29" s="55">
        <f t="shared" si="4"/>
        <v>133.78999999999996</v>
      </c>
      <c r="H29" s="55">
        <f>393.73+133.79</f>
        <v>527.52</v>
      </c>
      <c r="I29" s="55">
        <f t="shared" si="5"/>
        <v>3.0760156250000001</v>
      </c>
      <c r="J29" s="55">
        <f t="shared" si="6"/>
        <v>1.0452343749999997</v>
      </c>
      <c r="K29" s="55">
        <f t="shared" si="7"/>
        <v>4.1212499999999999</v>
      </c>
    </row>
    <row r="30" spans="1:11" x14ac:dyDescent="0.25">
      <c r="A30" s="1" t="s">
        <v>29</v>
      </c>
      <c r="B30" s="26" t="s">
        <v>61</v>
      </c>
      <c r="C30" s="98">
        <f>'Natural Gas Usage'!H20</f>
        <v>0</v>
      </c>
      <c r="E30" s="55">
        <v>0</v>
      </c>
      <c r="F30" s="55">
        <f t="shared" si="4"/>
        <v>167.81</v>
      </c>
      <c r="H30" s="55">
        <v>167.81</v>
      </c>
      <c r="I30" s="55" t="e">
        <f t="shared" si="5"/>
        <v>#DIV/0!</v>
      </c>
      <c r="J30" s="55" t="e">
        <f t="shared" si="6"/>
        <v>#DIV/0!</v>
      </c>
      <c r="K30" s="55" t="e">
        <f t="shared" si="7"/>
        <v>#DIV/0!</v>
      </c>
    </row>
    <row r="31" spans="1:11" x14ac:dyDescent="0.25">
      <c r="A31" s="1" t="s">
        <v>30</v>
      </c>
      <c r="B31" s="26" t="s">
        <v>61</v>
      </c>
      <c r="C31" s="98">
        <f>'Natural Gas Usage'!I20</f>
        <v>0</v>
      </c>
      <c r="E31" s="55">
        <v>0</v>
      </c>
      <c r="F31" s="55">
        <f t="shared" si="4"/>
        <v>149.82</v>
      </c>
      <c r="H31" s="55">
        <v>149.82</v>
      </c>
      <c r="I31" s="55" t="e">
        <f t="shared" si="5"/>
        <v>#DIV/0!</v>
      </c>
      <c r="J31" s="55" t="e">
        <f t="shared" si="6"/>
        <v>#DIV/0!</v>
      </c>
      <c r="K31" s="55" t="e">
        <f t="shared" si="7"/>
        <v>#DIV/0!</v>
      </c>
    </row>
    <row r="32" spans="1:11" x14ac:dyDescent="0.25">
      <c r="A32" s="1" t="s">
        <v>31</v>
      </c>
      <c r="B32" s="26" t="s">
        <v>61</v>
      </c>
      <c r="C32" s="98">
        <f>'Natural Gas Usage'!J20</f>
        <v>0</v>
      </c>
      <c r="E32" s="55">
        <v>0</v>
      </c>
      <c r="F32" s="55">
        <f t="shared" si="4"/>
        <v>0</v>
      </c>
      <c r="H32" s="55">
        <v>0</v>
      </c>
      <c r="I32" s="55" t="e">
        <f t="shared" si="5"/>
        <v>#DIV/0!</v>
      </c>
      <c r="J32" s="55" t="e">
        <f t="shared" si="6"/>
        <v>#DIV/0!</v>
      </c>
      <c r="K32" s="55" t="e">
        <f t="shared" si="7"/>
        <v>#DIV/0!</v>
      </c>
    </row>
    <row r="33" spans="1:11" x14ac:dyDescent="0.25">
      <c r="A33" s="1" t="s">
        <v>42</v>
      </c>
      <c r="B33" s="26" t="s">
        <v>61</v>
      </c>
      <c r="C33" s="98">
        <f>'Natural Gas Usage'!K20</f>
        <v>0</v>
      </c>
      <c r="E33" s="55">
        <v>0</v>
      </c>
      <c r="F33" s="55">
        <f t="shared" si="4"/>
        <v>0</v>
      </c>
      <c r="H33" s="55">
        <v>0</v>
      </c>
      <c r="I33" s="55" t="e">
        <f t="shared" si="5"/>
        <v>#DIV/0!</v>
      </c>
      <c r="J33" s="55" t="e">
        <f t="shared" si="6"/>
        <v>#DIV/0!</v>
      </c>
      <c r="K33" s="55" t="e">
        <f t="shared" si="7"/>
        <v>#DIV/0!</v>
      </c>
    </row>
    <row r="34" spans="1:11" x14ac:dyDescent="0.25">
      <c r="A34" s="1" t="s">
        <v>33</v>
      </c>
      <c r="B34" s="26" t="s">
        <v>61</v>
      </c>
      <c r="C34" s="98">
        <f>'Natural Gas Usage'!L20</f>
        <v>0</v>
      </c>
      <c r="E34" s="55">
        <v>0</v>
      </c>
      <c r="F34" s="55">
        <f t="shared" si="4"/>
        <v>0</v>
      </c>
      <c r="H34" s="55">
        <v>0</v>
      </c>
      <c r="I34" s="55" t="e">
        <f t="shared" si="5"/>
        <v>#DIV/0!</v>
      </c>
      <c r="J34" s="55" t="e">
        <f t="shared" si="6"/>
        <v>#DIV/0!</v>
      </c>
      <c r="K34" s="55" t="e">
        <f t="shared" si="7"/>
        <v>#DIV/0!</v>
      </c>
    </row>
    <row r="35" spans="1:11" x14ac:dyDescent="0.25">
      <c r="A35" s="1" t="s">
        <v>34</v>
      </c>
      <c r="B35" s="26" t="s">
        <v>61</v>
      </c>
      <c r="C35" s="98">
        <f>'Natural Gas Usage'!M20</f>
        <v>0</v>
      </c>
      <c r="E35" s="55">
        <v>0</v>
      </c>
      <c r="F35" s="55">
        <f t="shared" si="4"/>
        <v>0</v>
      </c>
      <c r="H35" s="55">
        <v>0</v>
      </c>
      <c r="I35" s="55" t="e">
        <f t="shared" si="5"/>
        <v>#DIV/0!</v>
      </c>
      <c r="J35" s="55" t="e">
        <f t="shared" si="6"/>
        <v>#DIV/0!</v>
      </c>
      <c r="K35" s="55" t="e">
        <f t="shared" si="7"/>
        <v>#DIV/0!</v>
      </c>
    </row>
    <row r="36" spans="1:11" x14ac:dyDescent="0.25">
      <c r="A36" s="1" t="s">
        <v>35</v>
      </c>
      <c r="B36" s="26" t="s">
        <v>61</v>
      </c>
      <c r="C36" s="98">
        <f>'Natural Gas Usage'!N20</f>
        <v>0</v>
      </c>
      <c r="E36" s="55">
        <v>0</v>
      </c>
      <c r="F36" s="55">
        <f t="shared" si="4"/>
        <v>0</v>
      </c>
      <c r="H36" s="55">
        <v>0</v>
      </c>
      <c r="I36" s="55" t="e">
        <f t="shared" si="5"/>
        <v>#DIV/0!</v>
      </c>
      <c r="J36" s="55" t="e">
        <f t="shared" si="6"/>
        <v>#DIV/0!</v>
      </c>
      <c r="K36" s="55" t="e">
        <f t="shared" si="7"/>
        <v>#DIV/0!</v>
      </c>
    </row>
    <row r="38" spans="1:11" x14ac:dyDescent="0.25">
      <c r="B38" s="37" t="s">
        <v>43</v>
      </c>
      <c r="C38" s="99">
        <f>SUM(C25:C36)</f>
        <v>1805</v>
      </c>
      <c r="D38" s="37"/>
      <c r="E38" s="57">
        <f>SUM(E25:E36)</f>
        <v>5552.1900000000005</v>
      </c>
      <c r="F38" s="57">
        <f>SUM(F25:F36)</f>
        <v>3437.71</v>
      </c>
      <c r="G38" s="57"/>
      <c r="H38" s="57">
        <f>SUM(H25:H36)</f>
        <v>8989.9</v>
      </c>
      <c r="I38" s="57">
        <f>SUM(E38/C38)</f>
        <v>3.0760055401662054</v>
      </c>
      <c r="J38" s="57">
        <f>F38/C38</f>
        <v>1.9045484764542937</v>
      </c>
      <c r="K38" s="57">
        <f>H38/C38</f>
        <v>4.9805540166204985</v>
      </c>
    </row>
    <row r="40" spans="1:11" x14ac:dyDescent="0.25">
      <c r="A40" s="2"/>
      <c r="B40" s="2"/>
      <c r="C40" s="97"/>
      <c r="E40" s="3" t="s">
        <v>20</v>
      </c>
      <c r="F40" s="3" t="s">
        <v>16</v>
      </c>
      <c r="H40" s="3" t="s">
        <v>18</v>
      </c>
      <c r="I40" s="3" t="s">
        <v>38</v>
      </c>
      <c r="J40" s="3" t="s">
        <v>17</v>
      </c>
      <c r="K40" s="57" t="s">
        <v>47</v>
      </c>
    </row>
    <row r="41" spans="1:11" x14ac:dyDescent="0.25">
      <c r="A41" s="5" t="s">
        <v>15</v>
      </c>
      <c r="B41" s="5" t="s">
        <v>19</v>
      </c>
      <c r="C41" s="50" t="s">
        <v>20</v>
      </c>
      <c r="E41" s="6" t="s">
        <v>22</v>
      </c>
      <c r="F41" s="6" t="s">
        <v>22</v>
      </c>
      <c r="H41" s="6" t="s">
        <v>22</v>
      </c>
      <c r="I41" s="6" t="s">
        <v>118</v>
      </c>
      <c r="J41" s="6" t="s">
        <v>119</v>
      </c>
      <c r="K41" s="56" t="s">
        <v>118</v>
      </c>
    </row>
    <row r="43" spans="1:11" x14ac:dyDescent="0.25">
      <c r="A43" s="1" t="s">
        <v>24</v>
      </c>
      <c r="B43" s="26" t="s">
        <v>112</v>
      </c>
      <c r="C43" s="98">
        <f>'Natural Gas Usage'!C28</f>
        <v>333.9</v>
      </c>
      <c r="E43" s="55">
        <v>1027.08</v>
      </c>
      <c r="F43" s="55">
        <f>H43-E43</f>
        <v>613.25</v>
      </c>
      <c r="H43" s="55">
        <f>613.25+1027.08</f>
        <v>1640.33</v>
      </c>
      <c r="I43" s="55">
        <f>E43/C43</f>
        <v>3.076010781671159</v>
      </c>
      <c r="J43" s="55">
        <f>F43/C43</f>
        <v>1.836627732854148</v>
      </c>
      <c r="K43" s="55">
        <f>H43/C43</f>
        <v>4.9126385145253071</v>
      </c>
    </row>
    <row r="44" spans="1:11" x14ac:dyDescent="0.25">
      <c r="A44" s="1" t="s">
        <v>25</v>
      </c>
      <c r="B44" s="26" t="s">
        <v>112</v>
      </c>
      <c r="C44" s="98">
        <f>'Natural Gas Usage'!D28</f>
        <v>298.10000000000002</v>
      </c>
      <c r="E44" s="55">
        <v>916.96</v>
      </c>
      <c r="F44" s="55">
        <f t="shared" ref="F44:F53" si="8">H44-E44</f>
        <v>600.15000000000009</v>
      </c>
      <c r="H44" s="55">
        <f>916.96+600.15</f>
        <v>1517.1100000000001</v>
      </c>
      <c r="I44" s="55">
        <f t="shared" ref="I44:I54" si="9">E44/C44</f>
        <v>3.0760147601476016</v>
      </c>
      <c r="J44" s="55">
        <f t="shared" ref="J44:J54" si="10">F44/C44</f>
        <v>2.0132505870513251</v>
      </c>
      <c r="K44" s="55">
        <f t="shared" ref="K44:K54" si="11">H44/C44</f>
        <v>5.0892653471989266</v>
      </c>
    </row>
    <row r="45" spans="1:11" x14ac:dyDescent="0.25">
      <c r="A45" s="1" t="s">
        <v>26</v>
      </c>
      <c r="B45" s="26" t="s">
        <v>112</v>
      </c>
      <c r="C45" s="98">
        <f>'Natural Gas Usage'!E28</f>
        <v>251.9</v>
      </c>
      <c r="E45" s="55">
        <v>774.84</v>
      </c>
      <c r="F45" s="55">
        <f t="shared" si="8"/>
        <v>533.21999999999991</v>
      </c>
      <c r="H45" s="55">
        <f>774.84+533.22</f>
        <v>1308.06</v>
      </c>
      <c r="I45" s="55">
        <f t="shared" si="9"/>
        <v>3.0759825327510919</v>
      </c>
      <c r="J45" s="55">
        <f t="shared" si="10"/>
        <v>2.1167923779277489</v>
      </c>
      <c r="K45" s="55">
        <f t="shared" si="11"/>
        <v>5.1927749106788408</v>
      </c>
    </row>
    <row r="46" spans="1:11" x14ac:dyDescent="0.25">
      <c r="A46" s="1" t="s">
        <v>41</v>
      </c>
      <c r="B46" s="26" t="s">
        <v>112</v>
      </c>
      <c r="C46" s="98">
        <f>'Natural Gas Usage'!F28</f>
        <v>153.5</v>
      </c>
      <c r="E46" s="55">
        <v>472.17</v>
      </c>
      <c r="F46" s="55">
        <f t="shared" si="8"/>
        <v>355.69</v>
      </c>
      <c r="H46" s="55">
        <f>355.69+472.17</f>
        <v>827.86</v>
      </c>
      <c r="I46" s="55">
        <f t="shared" si="9"/>
        <v>3.0760260586319221</v>
      </c>
      <c r="J46" s="55">
        <f t="shared" si="10"/>
        <v>2.3171986970684038</v>
      </c>
      <c r="K46" s="55">
        <f t="shared" si="11"/>
        <v>5.3932247557003254</v>
      </c>
    </row>
    <row r="47" spans="1:11" x14ac:dyDescent="0.25">
      <c r="A47" s="1" t="s">
        <v>28</v>
      </c>
      <c r="B47" s="26" t="s">
        <v>112</v>
      </c>
      <c r="C47" s="98">
        <f>'Natural Gas Usage'!G28</f>
        <v>30.8</v>
      </c>
      <c r="E47" s="55">
        <v>94.74</v>
      </c>
      <c r="F47" s="55">
        <f t="shared" si="8"/>
        <v>173.61</v>
      </c>
      <c r="H47" s="55">
        <f>94.74+173.61</f>
        <v>268.35000000000002</v>
      </c>
      <c r="I47" s="55">
        <f t="shared" si="9"/>
        <v>3.0759740259740256</v>
      </c>
      <c r="J47" s="55">
        <f t="shared" si="10"/>
        <v>5.636688311688312</v>
      </c>
      <c r="K47" s="55">
        <f t="shared" si="11"/>
        <v>8.7126623376623389</v>
      </c>
    </row>
    <row r="48" spans="1:11" x14ac:dyDescent="0.25">
      <c r="A48" s="1" t="s">
        <v>29</v>
      </c>
      <c r="B48" s="26" t="s">
        <v>112</v>
      </c>
      <c r="C48" s="98">
        <f>'Natural Gas Usage'!H28</f>
        <v>0</v>
      </c>
      <c r="E48" s="55">
        <v>0</v>
      </c>
      <c r="F48" s="55">
        <f t="shared" si="8"/>
        <v>127.83</v>
      </c>
      <c r="H48" s="55">
        <v>127.83</v>
      </c>
      <c r="I48" s="55" t="e">
        <f t="shared" si="9"/>
        <v>#DIV/0!</v>
      </c>
      <c r="J48" s="55" t="e">
        <f>F48/C48</f>
        <v>#DIV/0!</v>
      </c>
      <c r="K48" s="55" t="e">
        <f t="shared" si="11"/>
        <v>#DIV/0!</v>
      </c>
    </row>
    <row r="49" spans="1:11" x14ac:dyDescent="0.25">
      <c r="A49" s="1" t="s">
        <v>30</v>
      </c>
      <c r="B49" s="26" t="s">
        <v>112</v>
      </c>
      <c r="C49" s="98">
        <f>'Natural Gas Usage'!I28</f>
        <v>0</v>
      </c>
      <c r="E49" s="55">
        <v>0</v>
      </c>
      <c r="F49" s="55">
        <f t="shared" si="8"/>
        <v>124.85</v>
      </c>
      <c r="H49" s="55">
        <v>124.85</v>
      </c>
      <c r="I49" s="55" t="e">
        <f t="shared" si="9"/>
        <v>#DIV/0!</v>
      </c>
      <c r="J49" s="55" t="e">
        <f t="shared" si="10"/>
        <v>#DIV/0!</v>
      </c>
      <c r="K49" s="55" t="e">
        <f t="shared" si="11"/>
        <v>#DIV/0!</v>
      </c>
    </row>
    <row r="50" spans="1:11" x14ac:dyDescent="0.25">
      <c r="A50" s="1" t="s">
        <v>31</v>
      </c>
      <c r="B50" s="26" t="s">
        <v>112</v>
      </c>
      <c r="C50" s="98">
        <f>'Natural Gas Usage'!J28</f>
        <v>0</v>
      </c>
      <c r="E50" s="55">
        <v>0</v>
      </c>
      <c r="F50" s="55">
        <f t="shared" si="8"/>
        <v>0</v>
      </c>
      <c r="H50" s="55">
        <v>0</v>
      </c>
      <c r="I50" s="55" t="e">
        <f t="shared" si="9"/>
        <v>#DIV/0!</v>
      </c>
      <c r="J50" s="55" t="e">
        <f t="shared" si="10"/>
        <v>#DIV/0!</v>
      </c>
      <c r="K50" s="55" t="e">
        <f t="shared" si="11"/>
        <v>#DIV/0!</v>
      </c>
    </row>
    <row r="51" spans="1:11" x14ac:dyDescent="0.25">
      <c r="A51" s="1" t="s">
        <v>42</v>
      </c>
      <c r="B51" s="26" t="s">
        <v>112</v>
      </c>
      <c r="C51" s="98">
        <f>'Natural Gas Usage'!K28</f>
        <v>0</v>
      </c>
      <c r="E51" s="55">
        <v>0</v>
      </c>
      <c r="F51" s="55">
        <f t="shared" si="8"/>
        <v>0</v>
      </c>
      <c r="H51" s="55">
        <v>0</v>
      </c>
      <c r="I51" s="55" t="e">
        <f t="shared" si="9"/>
        <v>#DIV/0!</v>
      </c>
      <c r="J51" s="55" t="e">
        <f t="shared" si="10"/>
        <v>#DIV/0!</v>
      </c>
      <c r="K51" s="55" t="e">
        <f t="shared" si="11"/>
        <v>#DIV/0!</v>
      </c>
    </row>
    <row r="52" spans="1:11" x14ac:dyDescent="0.25">
      <c r="A52" s="1" t="s">
        <v>33</v>
      </c>
      <c r="B52" s="26" t="s">
        <v>112</v>
      </c>
      <c r="C52" s="98">
        <f>'Natural Gas Usage'!L28</f>
        <v>0</v>
      </c>
      <c r="E52" s="55">
        <v>0</v>
      </c>
      <c r="F52" s="55">
        <f t="shared" si="8"/>
        <v>0</v>
      </c>
      <c r="H52" s="55">
        <v>0</v>
      </c>
      <c r="I52" s="55" t="e">
        <f t="shared" si="9"/>
        <v>#DIV/0!</v>
      </c>
      <c r="J52" s="55" t="e">
        <f t="shared" si="10"/>
        <v>#DIV/0!</v>
      </c>
      <c r="K52" s="55" t="e">
        <f t="shared" si="11"/>
        <v>#DIV/0!</v>
      </c>
    </row>
    <row r="53" spans="1:11" x14ac:dyDescent="0.25">
      <c r="A53" s="1" t="s">
        <v>34</v>
      </c>
      <c r="B53" s="26" t="s">
        <v>112</v>
      </c>
      <c r="C53" s="98">
        <f>'Natural Gas Usage'!M28</f>
        <v>0</v>
      </c>
      <c r="E53" s="55">
        <v>0</v>
      </c>
      <c r="F53" s="55">
        <f t="shared" si="8"/>
        <v>0</v>
      </c>
      <c r="H53" s="55">
        <v>0</v>
      </c>
      <c r="I53" s="55" t="e">
        <f t="shared" si="9"/>
        <v>#DIV/0!</v>
      </c>
      <c r="J53" s="55" t="e">
        <f t="shared" si="10"/>
        <v>#DIV/0!</v>
      </c>
      <c r="K53" s="55" t="e">
        <f t="shared" si="11"/>
        <v>#DIV/0!</v>
      </c>
    </row>
    <row r="54" spans="1:11" x14ac:dyDescent="0.25">
      <c r="A54" s="1" t="s">
        <v>35</v>
      </c>
      <c r="B54" s="26" t="s">
        <v>112</v>
      </c>
      <c r="C54" s="98">
        <f>'Natural Gas Usage'!N28</f>
        <v>0</v>
      </c>
      <c r="E54" s="55">
        <v>0</v>
      </c>
      <c r="F54" s="55">
        <f>H54-E54</f>
        <v>0</v>
      </c>
      <c r="H54" s="55">
        <v>0</v>
      </c>
      <c r="I54" s="55" t="e">
        <f t="shared" si="9"/>
        <v>#DIV/0!</v>
      </c>
      <c r="J54" s="55" t="e">
        <f t="shared" si="10"/>
        <v>#DIV/0!</v>
      </c>
      <c r="K54" s="55" t="e">
        <f t="shared" si="11"/>
        <v>#DIV/0!</v>
      </c>
    </row>
    <row r="56" spans="1:11" x14ac:dyDescent="0.25">
      <c r="B56" s="37" t="s">
        <v>43</v>
      </c>
      <c r="C56" s="99">
        <f>SUM(C43:C54)</f>
        <v>1068.2</v>
      </c>
      <c r="D56" s="37"/>
      <c r="E56" s="57">
        <f>SUM(E43:E54)</f>
        <v>3285.79</v>
      </c>
      <c r="F56" s="57">
        <f>SUM(F43:F54)</f>
        <v>2528.6</v>
      </c>
      <c r="G56" s="57"/>
      <c r="H56" s="57">
        <f>SUM(H43:H54)</f>
        <v>5814.39</v>
      </c>
      <c r="I56" s="57">
        <f>SUM(E56/C56)</f>
        <v>3.0760063658490919</v>
      </c>
      <c r="J56" s="57">
        <f>F56/C56</f>
        <v>2.367159707919865</v>
      </c>
      <c r="K56" s="57">
        <f>H56/C56</f>
        <v>5.4431660737689569</v>
      </c>
    </row>
    <row r="58" spans="1:11" x14ac:dyDescent="0.25">
      <c r="A58" s="2"/>
      <c r="B58" s="2"/>
      <c r="C58" s="97"/>
      <c r="E58" s="3" t="s">
        <v>20</v>
      </c>
      <c r="F58" s="3" t="s">
        <v>16</v>
      </c>
      <c r="H58" s="3" t="s">
        <v>18</v>
      </c>
      <c r="I58" s="3" t="s">
        <v>38</v>
      </c>
      <c r="J58" s="3" t="s">
        <v>17</v>
      </c>
      <c r="K58" s="57" t="s">
        <v>47</v>
      </c>
    </row>
    <row r="59" spans="1:11" x14ac:dyDescent="0.25">
      <c r="A59" s="5" t="s">
        <v>15</v>
      </c>
      <c r="B59" s="5" t="s">
        <v>19</v>
      </c>
      <c r="C59" s="50" t="s">
        <v>20</v>
      </c>
      <c r="E59" s="6" t="s">
        <v>22</v>
      </c>
      <c r="F59" s="6" t="s">
        <v>22</v>
      </c>
      <c r="H59" s="6" t="s">
        <v>22</v>
      </c>
      <c r="I59" s="6" t="s">
        <v>118</v>
      </c>
      <c r="J59" s="6" t="s">
        <v>119</v>
      </c>
      <c r="K59" s="56" t="s">
        <v>118</v>
      </c>
    </row>
    <row r="61" spans="1:11" x14ac:dyDescent="0.25">
      <c r="A61" s="1" t="s">
        <v>24</v>
      </c>
      <c r="B61" s="26" t="s">
        <v>113</v>
      </c>
      <c r="C61" s="98">
        <f>'Natural Gas Usage'!C37</f>
        <v>100.6</v>
      </c>
      <c r="E61" s="55">
        <v>309.45</v>
      </c>
      <c r="F61" s="55">
        <f>H61-E61</f>
        <v>155.94999999999999</v>
      </c>
      <c r="H61" s="55">
        <f>155.95+309.45</f>
        <v>465.4</v>
      </c>
      <c r="I61" s="55">
        <f>E61/C61</f>
        <v>3.0760437375745528</v>
      </c>
      <c r="J61" s="55">
        <f>F61/C61</f>
        <v>1.5501988071570576</v>
      </c>
      <c r="K61" s="55">
        <f>H61/C61</f>
        <v>4.6262425447316105</v>
      </c>
    </row>
    <row r="62" spans="1:11" x14ac:dyDescent="0.25">
      <c r="A62" s="1" t="s">
        <v>25</v>
      </c>
      <c r="B62" s="26" t="s">
        <v>113</v>
      </c>
      <c r="C62" s="98">
        <f>'Natural Gas Usage'!D37</f>
        <v>101.2</v>
      </c>
      <c r="E62" s="55">
        <v>311.29000000000002</v>
      </c>
      <c r="F62" s="55">
        <f>H62-E62</f>
        <v>168.46999999999997</v>
      </c>
      <c r="H62" s="55">
        <f>311.29+168.47</f>
        <v>479.76</v>
      </c>
      <c r="I62" s="55">
        <f t="shared" ref="I62:I72" si="12">E62/C62</f>
        <v>3.0759881422924904</v>
      </c>
      <c r="J62" s="55">
        <f>F62/C62</f>
        <v>1.6647233201581024</v>
      </c>
      <c r="K62" s="55">
        <f t="shared" ref="K62:K72" si="13">H62/C62</f>
        <v>4.7407114624505926</v>
      </c>
    </row>
    <row r="63" spans="1:11" x14ac:dyDescent="0.25">
      <c r="A63" s="1" t="s">
        <v>26</v>
      </c>
      <c r="B63" s="26" t="s">
        <v>113</v>
      </c>
      <c r="C63" s="98">
        <f>'Natural Gas Usage'!E37</f>
        <v>74.900000000000006</v>
      </c>
      <c r="E63" s="55">
        <v>230.39</v>
      </c>
      <c r="F63" s="55">
        <f t="shared" ref="F63:F72" si="14">H63-E63</f>
        <v>122.18</v>
      </c>
      <c r="H63" s="55">
        <f>230.39+122.18</f>
        <v>352.57</v>
      </c>
      <c r="I63" s="55">
        <f t="shared" si="12"/>
        <v>3.0759679572763683</v>
      </c>
      <c r="J63" s="55">
        <f t="shared" ref="J63:J72" si="15">F63/C63</f>
        <v>1.631241655540721</v>
      </c>
      <c r="K63" s="55">
        <f t="shared" si="13"/>
        <v>4.7072096128170893</v>
      </c>
    </row>
    <row r="64" spans="1:11" x14ac:dyDescent="0.25">
      <c r="A64" s="1" t="s">
        <v>41</v>
      </c>
      <c r="B64" s="26" t="s">
        <v>113</v>
      </c>
      <c r="C64" s="98">
        <f>'Natural Gas Usage'!F37</f>
        <v>68</v>
      </c>
      <c r="E64" s="55">
        <v>209.17</v>
      </c>
      <c r="F64" s="55">
        <f t="shared" si="14"/>
        <v>91.830000000000013</v>
      </c>
      <c r="H64" s="55">
        <f>91.83+209.17</f>
        <v>301</v>
      </c>
      <c r="I64" s="55">
        <f t="shared" si="12"/>
        <v>3.0760294117647056</v>
      </c>
      <c r="J64" s="55">
        <f t="shared" si="15"/>
        <v>1.3504411764705884</v>
      </c>
      <c r="K64" s="55">
        <f t="shared" si="13"/>
        <v>4.4264705882352944</v>
      </c>
    </row>
    <row r="65" spans="1:11" x14ac:dyDescent="0.25">
      <c r="A65" s="1" t="s">
        <v>28</v>
      </c>
      <c r="B65" s="26" t="s">
        <v>113</v>
      </c>
      <c r="C65" s="98">
        <f>'Natural Gas Usage'!G37</f>
        <v>73.400000000000006</v>
      </c>
      <c r="E65" s="55">
        <v>225.78</v>
      </c>
      <c r="F65" s="55">
        <f t="shared" si="14"/>
        <v>99.629999999999967</v>
      </c>
      <c r="H65" s="55">
        <f>225.78+99.63</f>
        <v>325.40999999999997</v>
      </c>
      <c r="I65" s="55">
        <f t="shared" si="12"/>
        <v>3.0760217983651224</v>
      </c>
      <c r="J65" s="55">
        <f t="shared" si="15"/>
        <v>1.3573569482288823</v>
      </c>
      <c r="K65" s="55">
        <f t="shared" si="13"/>
        <v>4.4333787465940047</v>
      </c>
    </row>
    <row r="66" spans="1:11" x14ac:dyDescent="0.25">
      <c r="A66" s="1" t="s">
        <v>29</v>
      </c>
      <c r="B66" s="26" t="s">
        <v>113</v>
      </c>
      <c r="C66" s="98">
        <f>'Natural Gas Usage'!H37</f>
        <v>0</v>
      </c>
      <c r="E66" s="55">
        <v>0</v>
      </c>
      <c r="F66" s="55">
        <f t="shared" si="14"/>
        <v>27.95</v>
      </c>
      <c r="H66" s="55">
        <v>27.95</v>
      </c>
      <c r="I66" s="55" t="e">
        <f t="shared" si="12"/>
        <v>#DIV/0!</v>
      </c>
      <c r="J66" s="55" t="e">
        <f t="shared" si="15"/>
        <v>#DIV/0!</v>
      </c>
      <c r="K66" s="55" t="e">
        <f t="shared" si="13"/>
        <v>#DIV/0!</v>
      </c>
    </row>
    <row r="67" spans="1:11" x14ac:dyDescent="0.25">
      <c r="A67" s="1" t="s">
        <v>30</v>
      </c>
      <c r="B67" s="26" t="s">
        <v>113</v>
      </c>
      <c r="C67" s="98">
        <f>'Natural Gas Usage'!I37</f>
        <v>0</v>
      </c>
      <c r="E67" s="55">
        <v>0</v>
      </c>
      <c r="F67" s="55">
        <f t="shared" si="14"/>
        <v>27.95</v>
      </c>
      <c r="H67" s="55">
        <v>27.95</v>
      </c>
      <c r="I67" s="55" t="e">
        <f t="shared" si="12"/>
        <v>#DIV/0!</v>
      </c>
      <c r="J67" s="55" t="e">
        <f t="shared" si="15"/>
        <v>#DIV/0!</v>
      </c>
      <c r="K67" s="55" t="e">
        <f t="shared" si="13"/>
        <v>#DIV/0!</v>
      </c>
    </row>
    <row r="68" spans="1:11" x14ac:dyDescent="0.25">
      <c r="A68" s="1" t="s">
        <v>31</v>
      </c>
      <c r="B68" s="26" t="s">
        <v>113</v>
      </c>
      <c r="C68" s="98">
        <f>'Natural Gas Usage'!J37</f>
        <v>0</v>
      </c>
      <c r="E68" s="55">
        <v>0</v>
      </c>
      <c r="F68" s="55">
        <f t="shared" si="14"/>
        <v>0</v>
      </c>
      <c r="H68" s="55">
        <v>0</v>
      </c>
      <c r="I68" s="55" t="e">
        <f t="shared" si="12"/>
        <v>#DIV/0!</v>
      </c>
      <c r="J68" s="55" t="e">
        <f t="shared" si="15"/>
        <v>#DIV/0!</v>
      </c>
      <c r="K68" s="55" t="e">
        <f t="shared" si="13"/>
        <v>#DIV/0!</v>
      </c>
    </row>
    <row r="69" spans="1:11" x14ac:dyDescent="0.25">
      <c r="A69" s="1" t="s">
        <v>42</v>
      </c>
      <c r="B69" s="26" t="s">
        <v>113</v>
      </c>
      <c r="C69" s="98">
        <f>'Natural Gas Usage'!K37</f>
        <v>0</v>
      </c>
      <c r="E69" s="55">
        <v>0</v>
      </c>
      <c r="F69" s="55">
        <f t="shared" si="14"/>
        <v>0</v>
      </c>
      <c r="H69" s="55">
        <v>0</v>
      </c>
      <c r="I69" s="55" t="e">
        <f t="shared" si="12"/>
        <v>#DIV/0!</v>
      </c>
      <c r="J69" s="55" t="e">
        <f t="shared" si="15"/>
        <v>#DIV/0!</v>
      </c>
      <c r="K69" s="55" t="e">
        <f t="shared" si="13"/>
        <v>#DIV/0!</v>
      </c>
    </row>
    <row r="70" spans="1:11" x14ac:dyDescent="0.25">
      <c r="A70" s="1" t="s">
        <v>33</v>
      </c>
      <c r="B70" s="26" t="s">
        <v>113</v>
      </c>
      <c r="C70" s="98">
        <f>'Natural Gas Usage'!L37</f>
        <v>0</v>
      </c>
      <c r="E70" s="55">
        <v>0</v>
      </c>
      <c r="F70" s="55">
        <f t="shared" si="14"/>
        <v>0</v>
      </c>
      <c r="H70" s="55">
        <v>0</v>
      </c>
      <c r="I70" s="55" t="e">
        <f t="shared" si="12"/>
        <v>#DIV/0!</v>
      </c>
      <c r="J70" s="55" t="e">
        <f t="shared" si="15"/>
        <v>#DIV/0!</v>
      </c>
      <c r="K70" s="55" t="e">
        <f t="shared" si="13"/>
        <v>#DIV/0!</v>
      </c>
    </row>
    <row r="71" spans="1:11" x14ac:dyDescent="0.25">
      <c r="A71" s="1" t="s">
        <v>34</v>
      </c>
      <c r="B71" s="26" t="s">
        <v>113</v>
      </c>
      <c r="C71" s="98">
        <f>'Natural Gas Usage'!M37</f>
        <v>0</v>
      </c>
      <c r="E71" s="55">
        <v>0</v>
      </c>
      <c r="F71" s="55">
        <f t="shared" si="14"/>
        <v>0</v>
      </c>
      <c r="H71" s="55">
        <v>0</v>
      </c>
      <c r="I71" s="55" t="e">
        <f t="shared" si="12"/>
        <v>#DIV/0!</v>
      </c>
      <c r="J71" s="55" t="e">
        <f t="shared" si="15"/>
        <v>#DIV/0!</v>
      </c>
      <c r="K71" s="55" t="e">
        <f t="shared" si="13"/>
        <v>#DIV/0!</v>
      </c>
    </row>
    <row r="72" spans="1:11" x14ac:dyDescent="0.25">
      <c r="A72" s="1" t="s">
        <v>35</v>
      </c>
      <c r="B72" s="26" t="s">
        <v>113</v>
      </c>
      <c r="C72" s="98">
        <f>'Natural Gas Usage'!N37</f>
        <v>0</v>
      </c>
      <c r="E72" s="55">
        <v>0</v>
      </c>
      <c r="F72" s="55">
        <f t="shared" si="14"/>
        <v>0</v>
      </c>
      <c r="H72" s="55">
        <v>0</v>
      </c>
      <c r="I72" s="55" t="e">
        <f t="shared" si="12"/>
        <v>#DIV/0!</v>
      </c>
      <c r="J72" s="55" t="e">
        <f t="shared" si="15"/>
        <v>#DIV/0!</v>
      </c>
      <c r="K72" s="55" t="e">
        <f t="shared" si="13"/>
        <v>#DIV/0!</v>
      </c>
    </row>
    <row r="74" spans="1:11" x14ac:dyDescent="0.25">
      <c r="B74" s="37" t="s">
        <v>43</v>
      </c>
      <c r="C74" s="99">
        <f>SUM(C61:C72)</f>
        <v>418.1</v>
      </c>
      <c r="D74" s="37"/>
      <c r="E74" s="57">
        <f>SUM(E61:E72)</f>
        <v>1286.08</v>
      </c>
      <c r="F74" s="57">
        <f>SUM(F61:F72)</f>
        <v>693.96</v>
      </c>
      <c r="G74" s="57"/>
      <c r="H74" s="57">
        <f>SUM(H61:H72)</f>
        <v>1980.04</v>
      </c>
      <c r="I74" s="57">
        <f>SUM(E74/C74)</f>
        <v>3.0760105237981339</v>
      </c>
      <c r="J74" s="57">
        <f>F74/C74</f>
        <v>1.6597943075819181</v>
      </c>
      <c r="K74" s="57">
        <f>H74/C74</f>
        <v>4.7358048313800527</v>
      </c>
    </row>
    <row r="76" spans="1:11" x14ac:dyDescent="0.25">
      <c r="A76" s="2"/>
      <c r="B76" s="2"/>
      <c r="C76" s="97"/>
      <c r="E76" s="3" t="s">
        <v>20</v>
      </c>
      <c r="F76" s="3" t="s">
        <v>16</v>
      </c>
      <c r="H76" s="3" t="s">
        <v>18</v>
      </c>
      <c r="I76" s="3" t="s">
        <v>38</v>
      </c>
      <c r="J76" s="3" t="s">
        <v>17</v>
      </c>
      <c r="K76" s="57" t="s">
        <v>47</v>
      </c>
    </row>
    <row r="77" spans="1:11" x14ac:dyDescent="0.25">
      <c r="A77" s="5" t="s">
        <v>15</v>
      </c>
      <c r="B77" s="5" t="s">
        <v>19</v>
      </c>
      <c r="C77" s="50" t="s">
        <v>20</v>
      </c>
      <c r="E77" s="6" t="s">
        <v>22</v>
      </c>
      <c r="F77" s="6" t="s">
        <v>22</v>
      </c>
      <c r="H77" s="6" t="s">
        <v>22</v>
      </c>
      <c r="I77" s="6" t="s">
        <v>118</v>
      </c>
      <c r="J77" s="6" t="s">
        <v>119</v>
      </c>
      <c r="K77" s="56" t="s">
        <v>118</v>
      </c>
    </row>
    <row r="79" spans="1:11" x14ac:dyDescent="0.25">
      <c r="A79" s="1" t="s">
        <v>24</v>
      </c>
      <c r="B79" s="26" t="s">
        <v>115</v>
      </c>
      <c r="C79" s="98">
        <f>'Natural Gas Usage'!C46</f>
        <v>94.5</v>
      </c>
      <c r="E79" s="55">
        <v>290.68</v>
      </c>
      <c r="F79" s="55">
        <f>H79-E79</f>
        <v>288.48000000000008</v>
      </c>
      <c r="H79" s="55">
        <f>288.48+290.68</f>
        <v>579.16000000000008</v>
      </c>
      <c r="I79" s="55">
        <f>E79/C79</f>
        <v>3.075978835978836</v>
      </c>
      <c r="J79" s="55">
        <f>F79/C79</f>
        <v>3.0526984126984136</v>
      </c>
      <c r="K79" s="55">
        <f>H79/C79</f>
        <v>6.1286772486772492</v>
      </c>
    </row>
    <row r="80" spans="1:11" x14ac:dyDescent="0.25">
      <c r="A80" s="1" t="s">
        <v>25</v>
      </c>
      <c r="B80" s="26" t="s">
        <v>115</v>
      </c>
      <c r="C80" s="98">
        <f>'Natural Gas Usage'!D46</f>
        <v>90.3</v>
      </c>
      <c r="E80" s="55">
        <v>277.76</v>
      </c>
      <c r="F80" s="55">
        <f t="shared" ref="F80:F90" si="16">H80-E80</f>
        <v>292</v>
      </c>
      <c r="H80" s="55">
        <f>277.76+292</f>
        <v>569.76</v>
      </c>
      <c r="I80" s="55">
        <f t="shared" ref="I80:I90" si="17">E80/C80</f>
        <v>3.075968992248062</v>
      </c>
      <c r="J80" s="55">
        <f t="shared" ref="J80:J90" si="18">F80/C80</f>
        <v>3.2336655592469548</v>
      </c>
      <c r="K80" s="55">
        <f t="shared" ref="K80:K90" si="19">H80/C80</f>
        <v>6.3096345514950167</v>
      </c>
    </row>
    <row r="81" spans="1:11" x14ac:dyDescent="0.25">
      <c r="A81" s="1" t="s">
        <v>26</v>
      </c>
      <c r="B81" s="26" t="s">
        <v>115</v>
      </c>
      <c r="C81" s="98">
        <f>'Natural Gas Usage'!E46</f>
        <v>74.2</v>
      </c>
      <c r="E81" s="55">
        <v>228.24</v>
      </c>
      <c r="F81" s="55">
        <f t="shared" si="16"/>
        <v>263.38</v>
      </c>
      <c r="H81" s="55">
        <f>228.24+263.38</f>
        <v>491.62</v>
      </c>
      <c r="I81" s="55">
        <f t="shared" si="17"/>
        <v>3.076010781671159</v>
      </c>
      <c r="J81" s="55">
        <f t="shared" si="18"/>
        <v>3.5495956873315362</v>
      </c>
      <c r="K81" s="55">
        <f t="shared" si="19"/>
        <v>6.6256064690026948</v>
      </c>
    </row>
    <row r="82" spans="1:11" x14ac:dyDescent="0.25">
      <c r="A82" s="1" t="s">
        <v>41</v>
      </c>
      <c r="B82" s="26" t="s">
        <v>115</v>
      </c>
      <c r="C82" s="98">
        <f>'Natural Gas Usage'!F46</f>
        <v>52.9</v>
      </c>
      <c r="E82" s="55">
        <v>162.72</v>
      </c>
      <c r="F82" s="55">
        <f>H82-E82</f>
        <v>206.54</v>
      </c>
      <c r="H82" s="55">
        <f>206.54+162.72</f>
        <v>369.26</v>
      </c>
      <c r="I82" s="55">
        <f t="shared" si="17"/>
        <v>3.0759924385633273</v>
      </c>
      <c r="J82" s="55">
        <f t="shared" si="18"/>
        <v>3.9043478260869566</v>
      </c>
      <c r="K82" s="55">
        <f t="shared" si="19"/>
        <v>6.9803402646502839</v>
      </c>
    </row>
    <row r="83" spans="1:11" x14ac:dyDescent="0.25">
      <c r="A83" s="1" t="s">
        <v>28</v>
      </c>
      <c r="B83" s="26" t="s">
        <v>115</v>
      </c>
      <c r="C83" s="98">
        <f>'Natural Gas Usage'!G46</f>
        <v>16.8</v>
      </c>
      <c r="E83" s="55">
        <v>51.68</v>
      </c>
      <c r="F83" s="55">
        <f t="shared" si="16"/>
        <v>151.31</v>
      </c>
      <c r="H83" s="55">
        <f>51.68+151.31</f>
        <v>202.99</v>
      </c>
      <c r="I83" s="55">
        <f t="shared" si="17"/>
        <v>3.0761904761904759</v>
      </c>
      <c r="J83" s="55">
        <f t="shared" si="18"/>
        <v>9.0065476190476197</v>
      </c>
      <c r="K83" s="55">
        <f>H83/C83</f>
        <v>12.082738095238096</v>
      </c>
    </row>
    <row r="84" spans="1:11" x14ac:dyDescent="0.25">
      <c r="A84" s="1" t="s">
        <v>29</v>
      </c>
      <c r="B84" s="26" t="s">
        <v>115</v>
      </c>
      <c r="C84" s="98">
        <f>'Natural Gas Usage'!H46</f>
        <v>0</v>
      </c>
      <c r="E84" s="55">
        <v>0</v>
      </c>
      <c r="F84" s="55">
        <f t="shared" si="16"/>
        <v>124.85</v>
      </c>
      <c r="H84" s="55">
        <v>124.85</v>
      </c>
      <c r="I84" s="55" t="e">
        <f t="shared" si="17"/>
        <v>#DIV/0!</v>
      </c>
      <c r="J84" s="55" t="e">
        <f t="shared" si="18"/>
        <v>#DIV/0!</v>
      </c>
      <c r="K84" s="26" t="e">
        <f>H84/C84</f>
        <v>#DIV/0!</v>
      </c>
    </row>
    <row r="85" spans="1:11" x14ac:dyDescent="0.25">
      <c r="A85" s="1" t="s">
        <v>30</v>
      </c>
      <c r="B85" s="26" t="s">
        <v>115</v>
      </c>
      <c r="C85" s="98">
        <f>'Natural Gas Usage'!I46</f>
        <v>0</v>
      </c>
      <c r="E85" s="55">
        <v>0</v>
      </c>
      <c r="F85" s="55">
        <f t="shared" si="16"/>
        <v>124.66</v>
      </c>
      <c r="H85" s="55">
        <v>124.66</v>
      </c>
      <c r="I85" s="55" t="e">
        <f t="shared" si="17"/>
        <v>#DIV/0!</v>
      </c>
      <c r="J85" s="55" t="e">
        <f t="shared" si="18"/>
        <v>#DIV/0!</v>
      </c>
      <c r="K85" s="55" t="e">
        <f t="shared" si="19"/>
        <v>#DIV/0!</v>
      </c>
    </row>
    <row r="86" spans="1:11" x14ac:dyDescent="0.25">
      <c r="A86" s="1" t="s">
        <v>31</v>
      </c>
      <c r="B86" s="26" t="s">
        <v>115</v>
      </c>
      <c r="C86" s="98">
        <f>'Natural Gas Usage'!J46</f>
        <v>0</v>
      </c>
      <c r="E86" s="55">
        <v>0</v>
      </c>
      <c r="F86" s="55">
        <f t="shared" si="16"/>
        <v>0</v>
      </c>
      <c r="H86" s="55">
        <v>0</v>
      </c>
      <c r="I86" s="55" t="e">
        <f t="shared" si="17"/>
        <v>#DIV/0!</v>
      </c>
      <c r="J86" s="55" t="e">
        <f t="shared" si="18"/>
        <v>#DIV/0!</v>
      </c>
      <c r="K86" s="55" t="e">
        <f t="shared" si="19"/>
        <v>#DIV/0!</v>
      </c>
    </row>
    <row r="87" spans="1:11" x14ac:dyDescent="0.25">
      <c r="A87" s="1" t="s">
        <v>42</v>
      </c>
      <c r="B87" s="26" t="s">
        <v>115</v>
      </c>
      <c r="C87" s="98">
        <f>'Natural Gas Usage'!K46</f>
        <v>0</v>
      </c>
      <c r="E87" s="55">
        <v>0</v>
      </c>
      <c r="F87" s="55">
        <f t="shared" si="16"/>
        <v>0</v>
      </c>
      <c r="H87" s="55">
        <v>0</v>
      </c>
      <c r="I87" s="55" t="e">
        <f t="shared" si="17"/>
        <v>#DIV/0!</v>
      </c>
      <c r="J87" s="55" t="e">
        <f t="shared" si="18"/>
        <v>#DIV/0!</v>
      </c>
      <c r="K87" s="55" t="e">
        <f t="shared" si="19"/>
        <v>#DIV/0!</v>
      </c>
    </row>
    <row r="88" spans="1:11" x14ac:dyDescent="0.25">
      <c r="A88" s="1" t="s">
        <v>33</v>
      </c>
      <c r="B88" s="26" t="s">
        <v>115</v>
      </c>
      <c r="C88" s="98">
        <f>'Natural Gas Usage'!L46</f>
        <v>0</v>
      </c>
      <c r="E88" s="55">
        <v>0</v>
      </c>
      <c r="F88" s="55">
        <f t="shared" si="16"/>
        <v>0</v>
      </c>
      <c r="H88" s="55">
        <v>0</v>
      </c>
      <c r="I88" s="55" t="e">
        <f t="shared" si="17"/>
        <v>#DIV/0!</v>
      </c>
      <c r="J88" s="55" t="e">
        <f t="shared" si="18"/>
        <v>#DIV/0!</v>
      </c>
      <c r="K88" s="55" t="e">
        <f t="shared" si="19"/>
        <v>#DIV/0!</v>
      </c>
    </row>
    <row r="89" spans="1:11" x14ac:dyDescent="0.25">
      <c r="A89" s="1" t="s">
        <v>34</v>
      </c>
      <c r="B89" s="26" t="s">
        <v>115</v>
      </c>
      <c r="C89" s="98">
        <f>'Natural Gas Usage'!M46</f>
        <v>0</v>
      </c>
      <c r="E89" s="55">
        <v>0</v>
      </c>
      <c r="F89" s="55">
        <f t="shared" si="16"/>
        <v>0</v>
      </c>
      <c r="H89" s="55">
        <v>0</v>
      </c>
      <c r="I89" s="55" t="e">
        <f t="shared" si="17"/>
        <v>#DIV/0!</v>
      </c>
      <c r="J89" s="55" t="e">
        <f t="shared" si="18"/>
        <v>#DIV/0!</v>
      </c>
      <c r="K89" s="55" t="e">
        <f t="shared" si="19"/>
        <v>#DIV/0!</v>
      </c>
    </row>
    <row r="90" spans="1:11" x14ac:dyDescent="0.25">
      <c r="A90" s="1" t="s">
        <v>35</v>
      </c>
      <c r="B90" s="26" t="s">
        <v>115</v>
      </c>
      <c r="C90" s="98">
        <f>'Natural Gas Usage'!N46</f>
        <v>0</v>
      </c>
      <c r="E90" s="55">
        <v>0</v>
      </c>
      <c r="F90" s="55">
        <f t="shared" si="16"/>
        <v>0</v>
      </c>
      <c r="H90" s="55">
        <v>0</v>
      </c>
      <c r="I90" s="55" t="e">
        <f t="shared" si="17"/>
        <v>#DIV/0!</v>
      </c>
      <c r="J90" s="55" t="e">
        <f t="shared" si="18"/>
        <v>#DIV/0!</v>
      </c>
      <c r="K90" s="55" t="e">
        <f t="shared" si="19"/>
        <v>#DIV/0!</v>
      </c>
    </row>
    <row r="92" spans="1:11" x14ac:dyDescent="0.25">
      <c r="B92" s="37" t="s">
        <v>43</v>
      </c>
      <c r="C92" s="99">
        <f>SUM(C79:C90)</f>
        <v>328.7</v>
      </c>
      <c r="D92" s="37"/>
      <c r="E92" s="57">
        <f>SUM(E79:E90)</f>
        <v>1011.08</v>
      </c>
      <c r="F92" s="57">
        <f>SUM(F79:F90)</f>
        <v>1451.22</v>
      </c>
      <c r="G92" s="57"/>
      <c r="H92" s="57">
        <f>SUM(H79:H90)</f>
        <v>2462.2999999999997</v>
      </c>
      <c r="I92" s="57">
        <f>SUM(E92/C92)</f>
        <v>3.0759963492546398</v>
      </c>
      <c r="J92" s="57">
        <f>F92/C92</f>
        <v>4.4150289017341047</v>
      </c>
      <c r="K92" s="57">
        <f>H92/C92</f>
        <v>7.4910252509887432</v>
      </c>
    </row>
    <row r="94" spans="1:11" x14ac:dyDescent="0.25">
      <c r="A94" s="2"/>
      <c r="B94" s="2"/>
      <c r="C94" s="97"/>
      <c r="E94" s="3" t="s">
        <v>20</v>
      </c>
      <c r="F94" s="3" t="s">
        <v>16</v>
      </c>
      <c r="H94" s="3" t="s">
        <v>18</v>
      </c>
      <c r="I94" s="3" t="s">
        <v>38</v>
      </c>
      <c r="J94" s="3" t="s">
        <v>17</v>
      </c>
      <c r="K94" s="57" t="s">
        <v>47</v>
      </c>
    </row>
    <row r="95" spans="1:11" x14ac:dyDescent="0.25">
      <c r="A95" s="5" t="s">
        <v>15</v>
      </c>
      <c r="B95" s="5" t="s">
        <v>19</v>
      </c>
      <c r="C95" s="50" t="s">
        <v>20</v>
      </c>
      <c r="E95" s="6" t="s">
        <v>22</v>
      </c>
      <c r="F95" s="6" t="s">
        <v>22</v>
      </c>
      <c r="H95" s="6" t="s">
        <v>22</v>
      </c>
      <c r="I95" s="6" t="s">
        <v>118</v>
      </c>
      <c r="J95" s="6" t="s">
        <v>119</v>
      </c>
      <c r="K95" s="56" t="s">
        <v>118</v>
      </c>
    </row>
    <row r="97" spans="1:11" x14ac:dyDescent="0.25">
      <c r="A97" s="1" t="s">
        <v>24</v>
      </c>
      <c r="B97" s="26" t="s">
        <v>66</v>
      </c>
      <c r="C97" s="98">
        <f>'Natural Gas Usage'!C55</f>
        <v>13.5</v>
      </c>
      <c r="E97" s="55">
        <v>41.53</v>
      </c>
      <c r="F97" s="55">
        <f>H97-E97</f>
        <v>153.52000000000001</v>
      </c>
      <c r="H97" s="55">
        <f>153.52+41.53</f>
        <v>195.05</v>
      </c>
      <c r="I97" s="55">
        <f>E97/C97</f>
        <v>3.0762962962962965</v>
      </c>
      <c r="J97" s="55">
        <f>F97/C97</f>
        <v>11.371851851851853</v>
      </c>
      <c r="K97" s="55">
        <f>H97/C97</f>
        <v>14.44814814814815</v>
      </c>
    </row>
    <row r="98" spans="1:11" x14ac:dyDescent="0.25">
      <c r="A98" s="1" t="s">
        <v>25</v>
      </c>
      <c r="B98" s="26" t="s">
        <v>66</v>
      </c>
      <c r="C98" s="98">
        <f>'Natural Gas Usage'!D55</f>
        <v>13.1</v>
      </c>
      <c r="E98" s="55">
        <v>40.299999999999997</v>
      </c>
      <c r="F98" s="55">
        <f t="shared" ref="F98:F108" si="20">H98-E98</f>
        <v>154.31</v>
      </c>
      <c r="H98" s="55">
        <f>40.3+154.31</f>
        <v>194.61</v>
      </c>
      <c r="I98" s="55">
        <f t="shared" ref="I98:I108" si="21">E98/C98</f>
        <v>3.0763358778625953</v>
      </c>
      <c r="J98" s="55">
        <f t="shared" ref="J98:J108" si="22">F98/C98</f>
        <v>11.7793893129771</v>
      </c>
      <c r="K98" s="55">
        <f t="shared" ref="K98:K108" si="23">H98/C98</f>
        <v>14.855725190839696</v>
      </c>
    </row>
    <row r="99" spans="1:11" x14ac:dyDescent="0.25">
      <c r="A99" s="1" t="s">
        <v>26</v>
      </c>
      <c r="B99" s="26" t="s">
        <v>66</v>
      </c>
      <c r="C99" s="98">
        <f>'Natural Gas Usage'!E55</f>
        <v>12.9</v>
      </c>
      <c r="E99" s="55">
        <v>39.68</v>
      </c>
      <c r="F99" s="55">
        <f t="shared" si="20"/>
        <v>154.1</v>
      </c>
      <c r="H99" s="55">
        <f>39.68+154.1</f>
        <v>193.78</v>
      </c>
      <c r="I99" s="55">
        <f t="shared" si="21"/>
        <v>3.075968992248062</v>
      </c>
      <c r="J99" s="55">
        <f t="shared" si="22"/>
        <v>11.945736434108527</v>
      </c>
      <c r="K99" s="55">
        <f t="shared" si="23"/>
        <v>15.021705426356588</v>
      </c>
    </row>
    <row r="100" spans="1:11" x14ac:dyDescent="0.25">
      <c r="A100" s="1" t="s">
        <v>41</v>
      </c>
      <c r="B100" s="26" t="s">
        <v>66</v>
      </c>
      <c r="C100" s="98">
        <f>'Natural Gas Usage'!F55</f>
        <v>9.6</v>
      </c>
      <c r="E100" s="55">
        <v>29.53</v>
      </c>
      <c r="F100" s="55">
        <f t="shared" si="20"/>
        <v>136.86000000000001</v>
      </c>
      <c r="H100" s="55">
        <f>136.86+29.53</f>
        <v>166.39000000000001</v>
      </c>
      <c r="I100" s="55">
        <f t="shared" si="21"/>
        <v>3.0760416666666668</v>
      </c>
      <c r="J100" s="55">
        <f t="shared" si="22"/>
        <v>14.256250000000001</v>
      </c>
      <c r="K100" s="55">
        <f t="shared" si="23"/>
        <v>17.33229166666667</v>
      </c>
    </row>
    <row r="101" spans="1:11" x14ac:dyDescent="0.25">
      <c r="A101" s="1" t="s">
        <v>28</v>
      </c>
      <c r="B101" s="26" t="s">
        <v>66</v>
      </c>
      <c r="C101" s="98">
        <f>'Natural Gas Usage'!G55</f>
        <v>8.6999999999999993</v>
      </c>
      <c r="E101" s="55">
        <f>26.76</f>
        <v>26.76</v>
      </c>
      <c r="F101" s="55">
        <f t="shared" si="20"/>
        <v>138.53</v>
      </c>
      <c r="H101" s="55">
        <f>26.76+138.53</f>
        <v>165.29</v>
      </c>
      <c r="I101" s="55">
        <f t="shared" si="21"/>
        <v>3.0758620689655176</v>
      </c>
      <c r="J101" s="55">
        <f t="shared" si="22"/>
        <v>15.922988505747128</v>
      </c>
      <c r="K101" s="55">
        <f t="shared" si="23"/>
        <v>18.998850574712645</v>
      </c>
    </row>
    <row r="102" spans="1:11" x14ac:dyDescent="0.25">
      <c r="A102" s="1" t="s">
        <v>29</v>
      </c>
      <c r="B102" s="26" t="s">
        <v>66</v>
      </c>
      <c r="C102" s="98">
        <f>'Natural Gas Usage'!H55</f>
        <v>0</v>
      </c>
      <c r="E102" s="55">
        <v>0</v>
      </c>
      <c r="F102" s="55">
        <f t="shared" si="20"/>
        <v>126.59</v>
      </c>
      <c r="H102" s="55">
        <v>126.59</v>
      </c>
      <c r="I102" s="55" t="e">
        <f t="shared" si="21"/>
        <v>#DIV/0!</v>
      </c>
      <c r="J102" s="55" t="e">
        <f t="shared" si="22"/>
        <v>#DIV/0!</v>
      </c>
      <c r="K102" s="55" t="e">
        <f t="shared" si="23"/>
        <v>#DIV/0!</v>
      </c>
    </row>
    <row r="103" spans="1:11" x14ac:dyDescent="0.25">
      <c r="A103" s="1" t="s">
        <v>30</v>
      </c>
      <c r="B103" s="26" t="s">
        <v>66</v>
      </c>
      <c r="C103" s="98">
        <f>'Natural Gas Usage'!I55</f>
        <v>0</v>
      </c>
      <c r="E103" s="55">
        <v>0</v>
      </c>
      <c r="F103" s="55">
        <f t="shared" si="20"/>
        <v>126.08</v>
      </c>
      <c r="H103" s="55">
        <v>126.08</v>
      </c>
      <c r="I103" s="55" t="e">
        <f t="shared" si="21"/>
        <v>#DIV/0!</v>
      </c>
      <c r="J103" s="55" t="e">
        <f t="shared" si="22"/>
        <v>#DIV/0!</v>
      </c>
      <c r="K103" s="55" t="e">
        <f t="shared" si="23"/>
        <v>#DIV/0!</v>
      </c>
    </row>
    <row r="104" spans="1:11" x14ac:dyDescent="0.25">
      <c r="A104" s="1" t="s">
        <v>31</v>
      </c>
      <c r="B104" s="26" t="s">
        <v>66</v>
      </c>
      <c r="C104" s="98">
        <f>'Natural Gas Usage'!J55</f>
        <v>0</v>
      </c>
      <c r="E104" s="55">
        <v>0</v>
      </c>
      <c r="F104" s="55">
        <f t="shared" si="20"/>
        <v>0</v>
      </c>
      <c r="H104" s="55">
        <v>0</v>
      </c>
      <c r="I104" s="55" t="e">
        <f t="shared" si="21"/>
        <v>#DIV/0!</v>
      </c>
      <c r="J104" s="55" t="e">
        <f t="shared" si="22"/>
        <v>#DIV/0!</v>
      </c>
      <c r="K104" s="55" t="e">
        <f t="shared" si="23"/>
        <v>#DIV/0!</v>
      </c>
    </row>
    <row r="105" spans="1:11" x14ac:dyDescent="0.25">
      <c r="A105" s="1" t="s">
        <v>42</v>
      </c>
      <c r="B105" s="26" t="s">
        <v>66</v>
      </c>
      <c r="C105" s="98">
        <f>'Natural Gas Usage'!K55</f>
        <v>0</v>
      </c>
      <c r="E105" s="55">
        <v>0</v>
      </c>
      <c r="F105" s="55">
        <f t="shared" si="20"/>
        <v>0</v>
      </c>
      <c r="H105" s="55">
        <v>0</v>
      </c>
      <c r="I105" s="55" t="e">
        <f t="shared" si="21"/>
        <v>#DIV/0!</v>
      </c>
      <c r="J105" s="55" t="e">
        <f t="shared" si="22"/>
        <v>#DIV/0!</v>
      </c>
      <c r="K105" s="55" t="e">
        <f t="shared" si="23"/>
        <v>#DIV/0!</v>
      </c>
    </row>
    <row r="106" spans="1:11" x14ac:dyDescent="0.25">
      <c r="A106" s="1" t="s">
        <v>33</v>
      </c>
      <c r="B106" s="26" t="s">
        <v>66</v>
      </c>
      <c r="C106" s="98">
        <f>'Natural Gas Usage'!L55</f>
        <v>0</v>
      </c>
      <c r="E106" s="55">
        <v>0</v>
      </c>
      <c r="F106" s="55">
        <f t="shared" si="20"/>
        <v>0</v>
      </c>
      <c r="H106" s="55">
        <v>0</v>
      </c>
      <c r="I106" s="55" t="e">
        <f t="shared" si="21"/>
        <v>#DIV/0!</v>
      </c>
      <c r="J106" s="55" t="e">
        <f t="shared" si="22"/>
        <v>#DIV/0!</v>
      </c>
      <c r="K106" s="55" t="e">
        <f t="shared" si="23"/>
        <v>#DIV/0!</v>
      </c>
    </row>
    <row r="107" spans="1:11" x14ac:dyDescent="0.25">
      <c r="A107" s="1" t="s">
        <v>34</v>
      </c>
      <c r="B107" s="26" t="s">
        <v>66</v>
      </c>
      <c r="C107" s="98">
        <f>'Natural Gas Usage'!M55</f>
        <v>0</v>
      </c>
      <c r="E107" s="55">
        <v>0</v>
      </c>
      <c r="F107" s="55">
        <f t="shared" si="20"/>
        <v>0</v>
      </c>
      <c r="H107" s="55">
        <v>0</v>
      </c>
      <c r="I107" s="55" t="e">
        <f t="shared" si="21"/>
        <v>#DIV/0!</v>
      </c>
      <c r="J107" s="55" t="e">
        <f t="shared" si="22"/>
        <v>#DIV/0!</v>
      </c>
      <c r="K107" s="55" t="e">
        <f t="shared" si="23"/>
        <v>#DIV/0!</v>
      </c>
    </row>
    <row r="108" spans="1:11" x14ac:dyDescent="0.25">
      <c r="A108" s="1" t="s">
        <v>35</v>
      </c>
      <c r="B108" s="26" t="s">
        <v>66</v>
      </c>
      <c r="C108" s="98">
        <f>'Natural Gas Usage'!N55</f>
        <v>0</v>
      </c>
      <c r="E108" s="55">
        <v>0</v>
      </c>
      <c r="F108" s="55">
        <f t="shared" si="20"/>
        <v>0</v>
      </c>
      <c r="H108" s="55">
        <v>0</v>
      </c>
      <c r="I108" s="55" t="e">
        <f t="shared" si="21"/>
        <v>#DIV/0!</v>
      </c>
      <c r="J108" s="55" t="e">
        <f t="shared" si="22"/>
        <v>#DIV/0!</v>
      </c>
      <c r="K108" s="55" t="e">
        <f t="shared" si="23"/>
        <v>#DIV/0!</v>
      </c>
    </row>
    <row r="110" spans="1:11" x14ac:dyDescent="0.25">
      <c r="B110" s="37" t="s">
        <v>43</v>
      </c>
      <c r="C110" s="99">
        <f>SUM(C97:C108)</f>
        <v>57.8</v>
      </c>
      <c r="D110" s="37"/>
      <c r="E110" s="57">
        <f>SUM(E97:E108)</f>
        <v>177.79999999999998</v>
      </c>
      <c r="F110" s="57">
        <f>SUM(F97:F108)</f>
        <v>989.99000000000012</v>
      </c>
      <c r="G110" s="57"/>
      <c r="H110" s="57">
        <f>SUM(H97:H108)</f>
        <v>1167.79</v>
      </c>
      <c r="I110" s="57">
        <f>SUM(E110/C110)</f>
        <v>3.0761245674740483</v>
      </c>
      <c r="J110" s="57">
        <f>F110/C110</f>
        <v>17.127854671280279</v>
      </c>
      <c r="K110" s="57">
        <f>H110/C110</f>
        <v>20.203979238754325</v>
      </c>
    </row>
    <row r="112" spans="1:11" x14ac:dyDescent="0.25">
      <c r="A112" s="2"/>
      <c r="B112" s="2"/>
      <c r="C112" s="97"/>
      <c r="E112" s="3" t="s">
        <v>20</v>
      </c>
      <c r="F112" s="3" t="s">
        <v>16</v>
      </c>
      <c r="H112" s="3" t="s">
        <v>18</v>
      </c>
      <c r="I112" s="3" t="s">
        <v>38</v>
      </c>
      <c r="J112" s="3" t="s">
        <v>17</v>
      </c>
      <c r="K112" s="57" t="s">
        <v>47</v>
      </c>
    </row>
    <row r="113" spans="1:11" x14ac:dyDescent="0.25">
      <c r="A113" s="5" t="s">
        <v>15</v>
      </c>
      <c r="B113" s="5" t="s">
        <v>19</v>
      </c>
      <c r="C113" s="50" t="s">
        <v>20</v>
      </c>
      <c r="E113" s="6" t="s">
        <v>22</v>
      </c>
      <c r="F113" s="6" t="s">
        <v>22</v>
      </c>
      <c r="H113" s="6" t="s">
        <v>22</v>
      </c>
      <c r="I113" s="6" t="s">
        <v>118</v>
      </c>
      <c r="J113" s="6" t="s">
        <v>119</v>
      </c>
      <c r="K113" s="56" t="s">
        <v>118</v>
      </c>
    </row>
    <row r="115" spans="1:11" x14ac:dyDescent="0.25">
      <c r="A115" s="1" t="s">
        <v>24</v>
      </c>
      <c r="B115" s="26" t="s">
        <v>63</v>
      </c>
      <c r="C115" s="98">
        <f>'Natural Gas Usage'!C64</f>
        <v>14.4</v>
      </c>
      <c r="E115" s="55">
        <v>44.29</v>
      </c>
      <c r="F115" s="55">
        <f>H115-E115</f>
        <v>155</v>
      </c>
      <c r="H115" s="55">
        <f>155+44.29</f>
        <v>199.29</v>
      </c>
      <c r="I115" s="55">
        <f>E115/C115</f>
        <v>3.0756944444444443</v>
      </c>
      <c r="J115" s="55">
        <f>F115/C115</f>
        <v>10.763888888888889</v>
      </c>
      <c r="K115" s="55">
        <f>H115/C115</f>
        <v>13.839583333333332</v>
      </c>
    </row>
    <row r="116" spans="1:11" x14ac:dyDescent="0.25">
      <c r="A116" s="1" t="s">
        <v>25</v>
      </c>
      <c r="B116" s="26" t="s">
        <v>63</v>
      </c>
      <c r="C116" s="98">
        <f>'Natural Gas Usage'!D64</f>
        <v>14.1</v>
      </c>
      <c r="E116" s="55">
        <v>43.37</v>
      </c>
      <c r="F116" s="55">
        <f t="shared" ref="F116:F126" si="24">H116-E116</f>
        <v>156.07</v>
      </c>
      <c r="H116" s="55">
        <f>43.37+156.07</f>
        <v>199.44</v>
      </c>
      <c r="I116" s="55">
        <f t="shared" ref="I116:I126" si="25">E116/C116</f>
        <v>3.0758865248226948</v>
      </c>
      <c r="J116" s="55">
        <f t="shared" ref="J116:J126" si="26">F116/C116</f>
        <v>11.068794326241134</v>
      </c>
      <c r="K116" s="55">
        <f t="shared" ref="K116:K126" si="27">H116/C116</f>
        <v>14.14468085106383</v>
      </c>
    </row>
    <row r="117" spans="1:11" x14ac:dyDescent="0.25">
      <c r="A117" s="1" t="s">
        <v>26</v>
      </c>
      <c r="B117" s="26" t="s">
        <v>63</v>
      </c>
      <c r="C117" s="98">
        <f>'Natural Gas Usage'!E64</f>
        <v>11.5</v>
      </c>
      <c r="E117" s="55">
        <v>35.369999999999997</v>
      </c>
      <c r="F117" s="55">
        <f t="shared" si="24"/>
        <v>151.55000000000001</v>
      </c>
      <c r="H117" s="55">
        <f>35.37+151.55</f>
        <v>186.92000000000002</v>
      </c>
      <c r="I117" s="55">
        <f t="shared" si="25"/>
        <v>3.0756521739130434</v>
      </c>
      <c r="J117" s="55">
        <f t="shared" si="26"/>
        <v>13.178260869565218</v>
      </c>
      <c r="K117" s="55">
        <f t="shared" si="27"/>
        <v>16.253913043478263</v>
      </c>
    </row>
    <row r="118" spans="1:11" x14ac:dyDescent="0.25">
      <c r="A118" s="1" t="s">
        <v>41</v>
      </c>
      <c r="B118" s="26" t="s">
        <v>63</v>
      </c>
      <c r="C118" s="98">
        <f>'Natural Gas Usage'!F64</f>
        <v>7.7</v>
      </c>
      <c r="E118" s="55">
        <v>23.69</v>
      </c>
      <c r="F118" s="55">
        <f t="shared" si="24"/>
        <v>133.84</v>
      </c>
      <c r="H118" s="55">
        <f>133.84+23.69</f>
        <v>157.53</v>
      </c>
      <c r="I118" s="55">
        <f t="shared" si="25"/>
        <v>3.0766233766233766</v>
      </c>
      <c r="J118" s="55">
        <f t="shared" si="26"/>
        <v>17.381818181818183</v>
      </c>
      <c r="K118" s="55">
        <f t="shared" si="27"/>
        <v>20.458441558441557</v>
      </c>
    </row>
    <row r="119" spans="1:11" x14ac:dyDescent="0.25">
      <c r="A119" s="1" t="s">
        <v>28</v>
      </c>
      <c r="B119" s="26" t="s">
        <v>63</v>
      </c>
      <c r="C119" s="98">
        <f>'Natural Gas Usage'!G64</f>
        <v>7.3</v>
      </c>
      <c r="E119" s="55">
        <v>22.45</v>
      </c>
      <c r="F119" s="55">
        <f t="shared" si="24"/>
        <v>136.25</v>
      </c>
      <c r="H119" s="55">
        <f>22.45+136.25</f>
        <v>158.69999999999999</v>
      </c>
      <c r="I119" s="55">
        <f t="shared" si="25"/>
        <v>3.0753424657534247</v>
      </c>
      <c r="J119" s="55">
        <f t="shared" si="26"/>
        <v>18.664383561643834</v>
      </c>
      <c r="K119" s="55">
        <f t="shared" si="27"/>
        <v>21.739726027397261</v>
      </c>
    </row>
    <row r="120" spans="1:11" x14ac:dyDescent="0.25">
      <c r="A120" s="1" t="s">
        <v>29</v>
      </c>
      <c r="B120" s="26" t="s">
        <v>63</v>
      </c>
      <c r="C120" s="98">
        <f>'Natural Gas Usage'!H64</f>
        <v>0</v>
      </c>
      <c r="E120" s="55">
        <v>0</v>
      </c>
      <c r="F120" s="55">
        <f t="shared" si="24"/>
        <v>125.71</v>
      </c>
      <c r="H120" s="55">
        <v>125.71</v>
      </c>
      <c r="I120" s="55" t="e">
        <f t="shared" si="25"/>
        <v>#DIV/0!</v>
      </c>
      <c r="J120" s="55" t="e">
        <f t="shared" si="26"/>
        <v>#DIV/0!</v>
      </c>
      <c r="K120" s="55" t="e">
        <f t="shared" si="27"/>
        <v>#DIV/0!</v>
      </c>
    </row>
    <row r="121" spans="1:11" x14ac:dyDescent="0.25">
      <c r="A121" s="1" t="s">
        <v>30</v>
      </c>
      <c r="B121" s="26" t="s">
        <v>63</v>
      </c>
      <c r="C121" s="98">
        <f>'Natural Gas Usage'!I64</f>
        <v>0</v>
      </c>
      <c r="E121" s="55">
        <v>0</v>
      </c>
      <c r="F121" s="55">
        <f t="shared" si="24"/>
        <v>125.35</v>
      </c>
      <c r="H121" s="55">
        <v>125.35</v>
      </c>
      <c r="I121" s="55" t="e">
        <f t="shared" si="25"/>
        <v>#DIV/0!</v>
      </c>
      <c r="J121" s="55" t="e">
        <f t="shared" si="26"/>
        <v>#DIV/0!</v>
      </c>
      <c r="K121" s="55" t="e">
        <f t="shared" si="27"/>
        <v>#DIV/0!</v>
      </c>
    </row>
    <row r="122" spans="1:11" x14ac:dyDescent="0.25">
      <c r="A122" s="1" t="s">
        <v>31</v>
      </c>
      <c r="B122" s="26" t="s">
        <v>63</v>
      </c>
      <c r="C122" s="98">
        <f>'Natural Gas Usage'!J64</f>
        <v>0</v>
      </c>
      <c r="E122" s="55">
        <v>0</v>
      </c>
      <c r="F122" s="55">
        <f t="shared" si="24"/>
        <v>0</v>
      </c>
      <c r="H122" s="55">
        <v>0</v>
      </c>
      <c r="I122" s="55" t="e">
        <f t="shared" si="25"/>
        <v>#DIV/0!</v>
      </c>
      <c r="J122" s="55" t="e">
        <f t="shared" si="26"/>
        <v>#DIV/0!</v>
      </c>
      <c r="K122" s="55" t="e">
        <f t="shared" si="27"/>
        <v>#DIV/0!</v>
      </c>
    </row>
    <row r="123" spans="1:11" x14ac:dyDescent="0.25">
      <c r="A123" s="1" t="s">
        <v>42</v>
      </c>
      <c r="B123" s="26" t="s">
        <v>63</v>
      </c>
      <c r="C123" s="98">
        <f>'Natural Gas Usage'!K64</f>
        <v>0</v>
      </c>
      <c r="E123" s="55">
        <v>0</v>
      </c>
      <c r="F123" s="55">
        <f>H123-E123</f>
        <v>0</v>
      </c>
      <c r="H123" s="55">
        <v>0</v>
      </c>
      <c r="I123" s="55" t="e">
        <f t="shared" si="25"/>
        <v>#DIV/0!</v>
      </c>
      <c r="J123" s="55" t="e">
        <f t="shared" si="26"/>
        <v>#DIV/0!</v>
      </c>
      <c r="K123" s="55" t="e">
        <f t="shared" si="27"/>
        <v>#DIV/0!</v>
      </c>
    </row>
    <row r="124" spans="1:11" x14ac:dyDescent="0.25">
      <c r="A124" s="1" t="s">
        <v>33</v>
      </c>
      <c r="B124" s="26" t="s">
        <v>63</v>
      </c>
      <c r="C124" s="98">
        <f>'Natural Gas Usage'!L64</f>
        <v>0</v>
      </c>
      <c r="E124" s="55">
        <v>0</v>
      </c>
      <c r="F124" s="55">
        <f t="shared" si="24"/>
        <v>0</v>
      </c>
      <c r="H124" s="55">
        <v>0</v>
      </c>
      <c r="I124" s="55" t="e">
        <f t="shared" si="25"/>
        <v>#DIV/0!</v>
      </c>
      <c r="J124" s="55" t="e">
        <f t="shared" si="26"/>
        <v>#DIV/0!</v>
      </c>
      <c r="K124" s="55" t="e">
        <f t="shared" si="27"/>
        <v>#DIV/0!</v>
      </c>
    </row>
    <row r="125" spans="1:11" x14ac:dyDescent="0.25">
      <c r="A125" s="1" t="s">
        <v>34</v>
      </c>
      <c r="B125" s="26" t="s">
        <v>63</v>
      </c>
      <c r="C125" s="98">
        <f>'Natural Gas Usage'!M64</f>
        <v>0</v>
      </c>
      <c r="E125" s="55">
        <v>0</v>
      </c>
      <c r="F125" s="55">
        <f t="shared" si="24"/>
        <v>0</v>
      </c>
      <c r="H125" s="55">
        <v>0</v>
      </c>
      <c r="I125" s="55" t="e">
        <f t="shared" si="25"/>
        <v>#DIV/0!</v>
      </c>
      <c r="J125" s="55" t="e">
        <f t="shared" si="26"/>
        <v>#DIV/0!</v>
      </c>
      <c r="K125" s="55" t="e">
        <f t="shared" si="27"/>
        <v>#DIV/0!</v>
      </c>
    </row>
    <row r="126" spans="1:11" x14ac:dyDescent="0.25">
      <c r="A126" s="1" t="s">
        <v>35</v>
      </c>
      <c r="B126" s="26" t="s">
        <v>63</v>
      </c>
      <c r="C126" s="98">
        <f>'Natural Gas Usage'!N64</f>
        <v>0</v>
      </c>
      <c r="E126" s="55">
        <v>0</v>
      </c>
      <c r="F126" s="55">
        <f t="shared" si="24"/>
        <v>0</v>
      </c>
      <c r="H126" s="55">
        <v>0</v>
      </c>
      <c r="I126" s="55" t="e">
        <f t="shared" si="25"/>
        <v>#DIV/0!</v>
      </c>
      <c r="J126" s="55" t="e">
        <f t="shared" si="26"/>
        <v>#DIV/0!</v>
      </c>
      <c r="K126" s="55" t="e">
        <f t="shared" si="27"/>
        <v>#DIV/0!</v>
      </c>
    </row>
    <row r="128" spans="1:11" x14ac:dyDescent="0.25">
      <c r="B128" s="37" t="s">
        <v>43</v>
      </c>
      <c r="C128" s="99">
        <f>SUM(C115:C126)</f>
        <v>55</v>
      </c>
      <c r="D128" s="37"/>
      <c r="E128" s="57">
        <f>SUM(E115:E126)</f>
        <v>169.17</v>
      </c>
      <c r="F128" s="57">
        <f>SUM(F115:F126)</f>
        <v>983.7700000000001</v>
      </c>
      <c r="G128" s="57"/>
      <c r="H128" s="57">
        <f>SUM(H115:H126)</f>
        <v>1152.94</v>
      </c>
      <c r="I128" s="57">
        <f>SUM(E128/C128)</f>
        <v>3.0758181818181818</v>
      </c>
      <c r="J128" s="57">
        <f>F128/C128</f>
        <v>17.886727272727274</v>
      </c>
      <c r="K128" s="57">
        <f>H128/C128</f>
        <v>20.962545454545456</v>
      </c>
    </row>
    <row r="130" spans="1:11" x14ac:dyDescent="0.25">
      <c r="A130" s="2"/>
      <c r="B130" s="2"/>
      <c r="C130" s="97"/>
      <c r="E130" s="3" t="s">
        <v>20</v>
      </c>
      <c r="F130" s="3" t="s">
        <v>16</v>
      </c>
      <c r="H130" s="3" t="s">
        <v>18</v>
      </c>
      <c r="I130" s="3" t="s">
        <v>38</v>
      </c>
      <c r="J130" s="3" t="s">
        <v>17</v>
      </c>
      <c r="K130" s="57" t="s">
        <v>47</v>
      </c>
    </row>
    <row r="131" spans="1:11" x14ac:dyDescent="0.25">
      <c r="A131" s="5" t="s">
        <v>15</v>
      </c>
      <c r="B131" s="5" t="s">
        <v>19</v>
      </c>
      <c r="C131" s="50" t="s">
        <v>20</v>
      </c>
      <c r="E131" s="6" t="s">
        <v>22</v>
      </c>
      <c r="F131" s="6" t="s">
        <v>22</v>
      </c>
      <c r="H131" s="6" t="s">
        <v>22</v>
      </c>
      <c r="I131" s="6" t="s">
        <v>118</v>
      </c>
      <c r="J131" s="6" t="s">
        <v>119</v>
      </c>
      <c r="K131" s="56" t="s">
        <v>118</v>
      </c>
    </row>
    <row r="133" spans="1:11" x14ac:dyDescent="0.25">
      <c r="A133" s="1" t="s">
        <v>24</v>
      </c>
      <c r="B133" s="26" t="s">
        <v>70</v>
      </c>
      <c r="C133" s="98">
        <f>'Natural Gas Usage'!C73</f>
        <v>0</v>
      </c>
      <c r="E133" s="55">
        <v>0</v>
      </c>
      <c r="F133" s="55">
        <f>H133-E133</f>
        <v>33.46</v>
      </c>
      <c r="H133" s="55">
        <v>33.46</v>
      </c>
      <c r="I133" s="55" t="e">
        <f>E133/C133</f>
        <v>#DIV/0!</v>
      </c>
      <c r="J133" s="55" t="e">
        <f>F133/C133</f>
        <v>#DIV/0!</v>
      </c>
      <c r="K133" s="55" t="e">
        <f>H133/C133</f>
        <v>#DIV/0!</v>
      </c>
    </row>
    <row r="134" spans="1:11" x14ac:dyDescent="0.25">
      <c r="A134" s="1" t="s">
        <v>25</v>
      </c>
      <c r="B134" s="26" t="s">
        <v>70</v>
      </c>
      <c r="C134" s="98">
        <f>'Natural Gas Usage'!D73</f>
        <v>0</v>
      </c>
      <c r="E134" s="55">
        <v>0</v>
      </c>
      <c r="F134" s="55">
        <f t="shared" ref="F134:F144" si="28">H134-E134</f>
        <v>33.46</v>
      </c>
      <c r="H134" s="55">
        <v>33.46</v>
      </c>
      <c r="I134" s="55" t="e">
        <f t="shared" ref="I134:I144" si="29">E134/C134</f>
        <v>#DIV/0!</v>
      </c>
      <c r="J134" s="55" t="e">
        <f t="shared" ref="J134:J144" si="30">F134/C134</f>
        <v>#DIV/0!</v>
      </c>
      <c r="K134" s="55" t="e">
        <f t="shared" ref="K134:K144" si="31">H134/C134</f>
        <v>#DIV/0!</v>
      </c>
    </row>
    <row r="135" spans="1:11" x14ac:dyDescent="0.25">
      <c r="A135" s="1" t="s">
        <v>26</v>
      </c>
      <c r="B135" s="26" t="s">
        <v>70</v>
      </c>
      <c r="C135" s="98">
        <f>'Natural Gas Usage'!E73</f>
        <v>15.5</v>
      </c>
      <c r="E135" s="55">
        <v>47.68</v>
      </c>
      <c r="F135" s="55">
        <f t="shared" si="28"/>
        <v>48.68</v>
      </c>
      <c r="H135" s="55">
        <f>47.68+48.68</f>
        <v>96.36</v>
      </c>
      <c r="I135" s="55">
        <f t="shared" si="29"/>
        <v>3.0761290322580646</v>
      </c>
      <c r="J135" s="55">
        <f t="shared" si="30"/>
        <v>3.1406451612903226</v>
      </c>
      <c r="K135" s="55">
        <f t="shared" si="31"/>
        <v>6.2167741935483871</v>
      </c>
    </row>
    <row r="136" spans="1:11" x14ac:dyDescent="0.25">
      <c r="A136" s="1" t="s">
        <v>41</v>
      </c>
      <c r="B136" s="26" t="s">
        <v>70</v>
      </c>
      <c r="C136" s="98">
        <f>'Natural Gas Usage'!F73</f>
        <v>12.7</v>
      </c>
      <c r="E136" s="55">
        <v>39.07</v>
      </c>
      <c r="F136" s="55">
        <f t="shared" si="28"/>
        <v>37.35</v>
      </c>
      <c r="H136" s="55">
        <f>37.35+39.07</f>
        <v>76.42</v>
      </c>
      <c r="I136" s="55">
        <f t="shared" si="29"/>
        <v>3.0763779527559056</v>
      </c>
      <c r="J136" s="55">
        <f t="shared" si="30"/>
        <v>2.9409448818897639</v>
      </c>
      <c r="K136" s="55">
        <f t="shared" si="31"/>
        <v>6.01732283464567</v>
      </c>
    </row>
    <row r="137" spans="1:11" x14ac:dyDescent="0.25">
      <c r="A137" s="1" t="s">
        <v>28</v>
      </c>
      <c r="B137" s="26" t="s">
        <v>70</v>
      </c>
      <c r="C137" s="98">
        <f>'Natural Gas Usage'!G73</f>
        <v>0</v>
      </c>
      <c r="E137" s="55">
        <v>0</v>
      </c>
      <c r="F137" s="55">
        <f t="shared" si="28"/>
        <v>1.78</v>
      </c>
      <c r="H137" s="55">
        <f>0+1.78</f>
        <v>1.78</v>
      </c>
      <c r="I137" s="55" t="e">
        <f t="shared" si="29"/>
        <v>#DIV/0!</v>
      </c>
      <c r="J137" s="55" t="e">
        <f t="shared" si="30"/>
        <v>#DIV/0!</v>
      </c>
      <c r="K137" s="55" t="e">
        <f t="shared" si="31"/>
        <v>#DIV/0!</v>
      </c>
    </row>
    <row r="138" spans="1:11" x14ac:dyDescent="0.25">
      <c r="A138" s="1" t="s">
        <v>29</v>
      </c>
      <c r="B138" s="26" t="s">
        <v>70</v>
      </c>
      <c r="C138" s="98">
        <f>'Natural Gas Usage'!H73</f>
        <v>0</v>
      </c>
      <c r="E138" s="55">
        <v>0</v>
      </c>
      <c r="F138" s="55">
        <f t="shared" si="28"/>
        <v>27.95</v>
      </c>
      <c r="H138" s="55">
        <v>27.95</v>
      </c>
      <c r="I138" s="55" t="e">
        <f t="shared" si="29"/>
        <v>#DIV/0!</v>
      </c>
      <c r="J138" s="55" t="e">
        <f>F138/C138</f>
        <v>#DIV/0!</v>
      </c>
      <c r="K138" s="55" t="e">
        <f t="shared" si="31"/>
        <v>#DIV/0!</v>
      </c>
    </row>
    <row r="139" spans="1:11" x14ac:dyDescent="0.25">
      <c r="A139" s="1" t="s">
        <v>30</v>
      </c>
      <c r="B139" s="26" t="s">
        <v>70</v>
      </c>
      <c r="C139" s="98">
        <f>'Natural Gas Usage'!I73</f>
        <v>0</v>
      </c>
      <c r="E139" s="55">
        <v>0</v>
      </c>
      <c r="F139" s="55">
        <f t="shared" si="28"/>
        <v>0</v>
      </c>
      <c r="H139" s="55">
        <v>0</v>
      </c>
      <c r="I139" s="55" t="e">
        <f t="shared" si="29"/>
        <v>#DIV/0!</v>
      </c>
      <c r="J139" s="55" t="e">
        <f t="shared" si="30"/>
        <v>#DIV/0!</v>
      </c>
      <c r="K139" s="55" t="e">
        <f t="shared" si="31"/>
        <v>#DIV/0!</v>
      </c>
    </row>
    <row r="140" spans="1:11" x14ac:dyDescent="0.25">
      <c r="A140" s="1" t="s">
        <v>31</v>
      </c>
      <c r="B140" s="26" t="s">
        <v>70</v>
      </c>
      <c r="C140" s="98">
        <f>'Natural Gas Usage'!J73</f>
        <v>0</v>
      </c>
      <c r="E140" s="55">
        <v>0</v>
      </c>
      <c r="F140" s="55">
        <f t="shared" si="28"/>
        <v>0</v>
      </c>
      <c r="H140" s="55">
        <v>0</v>
      </c>
      <c r="I140" s="55" t="e">
        <f t="shared" si="29"/>
        <v>#DIV/0!</v>
      </c>
      <c r="J140" s="55" t="e">
        <f t="shared" si="30"/>
        <v>#DIV/0!</v>
      </c>
      <c r="K140" s="55" t="e">
        <f t="shared" si="31"/>
        <v>#DIV/0!</v>
      </c>
    </row>
    <row r="141" spans="1:11" x14ac:dyDescent="0.25">
      <c r="A141" s="1" t="s">
        <v>42</v>
      </c>
      <c r="B141" s="26" t="s">
        <v>70</v>
      </c>
      <c r="C141" s="98">
        <f>'Natural Gas Usage'!K73</f>
        <v>0</v>
      </c>
      <c r="E141" s="55">
        <v>0</v>
      </c>
      <c r="F141" s="55">
        <f t="shared" si="28"/>
        <v>0</v>
      </c>
      <c r="H141" s="55">
        <v>0</v>
      </c>
      <c r="I141" s="55" t="e">
        <f t="shared" si="29"/>
        <v>#DIV/0!</v>
      </c>
      <c r="J141" s="55" t="e">
        <f t="shared" si="30"/>
        <v>#DIV/0!</v>
      </c>
      <c r="K141" s="55" t="e">
        <f t="shared" si="31"/>
        <v>#DIV/0!</v>
      </c>
    </row>
    <row r="142" spans="1:11" x14ac:dyDescent="0.25">
      <c r="A142" s="1" t="s">
        <v>33</v>
      </c>
      <c r="B142" s="26" t="s">
        <v>70</v>
      </c>
      <c r="C142" s="98">
        <f>'Natural Gas Usage'!L73</f>
        <v>0</v>
      </c>
      <c r="E142" s="55">
        <v>0</v>
      </c>
      <c r="F142" s="55">
        <f t="shared" si="28"/>
        <v>0</v>
      </c>
      <c r="H142" s="55">
        <v>0</v>
      </c>
      <c r="I142" s="55" t="e">
        <f t="shared" si="29"/>
        <v>#DIV/0!</v>
      </c>
      <c r="J142" s="55" t="e">
        <f t="shared" si="30"/>
        <v>#DIV/0!</v>
      </c>
      <c r="K142" s="55" t="e">
        <f t="shared" si="31"/>
        <v>#DIV/0!</v>
      </c>
    </row>
    <row r="143" spans="1:11" x14ac:dyDescent="0.25">
      <c r="A143" s="1" t="s">
        <v>34</v>
      </c>
      <c r="B143" s="26" t="s">
        <v>70</v>
      </c>
      <c r="C143" s="98">
        <f>'Natural Gas Usage'!M73</f>
        <v>0</v>
      </c>
      <c r="E143" s="55">
        <v>0</v>
      </c>
      <c r="F143" s="55">
        <f t="shared" si="28"/>
        <v>0</v>
      </c>
      <c r="H143" s="55">
        <v>0</v>
      </c>
      <c r="I143" s="55" t="e">
        <f t="shared" si="29"/>
        <v>#DIV/0!</v>
      </c>
      <c r="J143" s="55" t="e">
        <f t="shared" si="30"/>
        <v>#DIV/0!</v>
      </c>
      <c r="K143" s="55" t="e">
        <f t="shared" si="31"/>
        <v>#DIV/0!</v>
      </c>
    </row>
    <row r="144" spans="1:11" x14ac:dyDescent="0.25">
      <c r="A144" s="1" t="s">
        <v>35</v>
      </c>
      <c r="B144" s="26" t="s">
        <v>70</v>
      </c>
      <c r="C144" s="98">
        <f>'Natural Gas Usage'!N73</f>
        <v>0</v>
      </c>
      <c r="E144" s="55">
        <v>0</v>
      </c>
      <c r="F144" s="55">
        <f t="shared" si="28"/>
        <v>0</v>
      </c>
      <c r="H144" s="55">
        <v>0</v>
      </c>
      <c r="I144" s="55" t="e">
        <f t="shared" si="29"/>
        <v>#DIV/0!</v>
      </c>
      <c r="J144" s="55" t="e">
        <f t="shared" si="30"/>
        <v>#DIV/0!</v>
      </c>
      <c r="K144" s="55" t="e">
        <f t="shared" si="31"/>
        <v>#DIV/0!</v>
      </c>
    </row>
    <row r="146" spans="1:11" x14ac:dyDescent="0.25">
      <c r="B146" s="37" t="s">
        <v>43</v>
      </c>
      <c r="C146" s="99">
        <f>SUM(C133:C144)</f>
        <v>28.2</v>
      </c>
      <c r="D146" s="37"/>
      <c r="E146" s="57">
        <f>SUM(E133:E144)</f>
        <v>86.75</v>
      </c>
      <c r="F146" s="57">
        <f>SUM(F133:F144)</f>
        <v>182.67999999999998</v>
      </c>
      <c r="G146" s="57"/>
      <c r="H146" s="57">
        <f>SUM(H133:H144)</f>
        <v>269.43</v>
      </c>
      <c r="I146" s="57">
        <f>SUM(E146/C146)</f>
        <v>3.0762411347517733</v>
      </c>
      <c r="J146" s="57">
        <f>F146/C146</f>
        <v>6.4780141843971624</v>
      </c>
      <c r="K146" s="57">
        <f>H146/C146</f>
        <v>9.5542553191489361</v>
      </c>
    </row>
    <row r="150" spans="1:11" x14ac:dyDescent="0.25">
      <c r="A150" s="2"/>
      <c r="B150" s="2"/>
      <c r="C150" s="97"/>
      <c r="D150"/>
      <c r="E150" s="3" t="s">
        <v>20</v>
      </c>
      <c r="F150" s="3" t="s">
        <v>16</v>
      </c>
      <c r="G150"/>
      <c r="H150" s="3" t="s">
        <v>18</v>
      </c>
      <c r="I150" s="30" t="s">
        <v>38</v>
      </c>
      <c r="J150" s="30" t="s">
        <v>17</v>
      </c>
      <c r="K150" s="37" t="s">
        <v>47</v>
      </c>
    </row>
    <row r="151" spans="1:11" x14ac:dyDescent="0.25">
      <c r="A151" s="5" t="s">
        <v>23</v>
      </c>
      <c r="B151" s="5" t="s">
        <v>19</v>
      </c>
      <c r="C151" s="50" t="s">
        <v>20</v>
      </c>
      <c r="D151"/>
      <c r="E151" s="6" t="s">
        <v>22</v>
      </c>
      <c r="F151" s="6" t="s">
        <v>22</v>
      </c>
      <c r="G151"/>
      <c r="H151" s="6" t="s">
        <v>22</v>
      </c>
      <c r="I151" s="31" t="s">
        <v>118</v>
      </c>
      <c r="J151" s="31" t="s">
        <v>119</v>
      </c>
      <c r="K151" s="38" t="s">
        <v>118</v>
      </c>
    </row>
    <row r="152" spans="1:11" x14ac:dyDescent="0.25">
      <c r="A152" s="1"/>
      <c r="B152" s="1"/>
      <c r="C152" s="48"/>
      <c r="D152"/>
      <c r="E152" s="15"/>
      <c r="F152"/>
      <c r="G152"/>
      <c r="H152" s="15"/>
      <c r="I152" s="32"/>
      <c r="J152" s="18"/>
      <c r="K152"/>
    </row>
    <row r="153" spans="1:11" x14ac:dyDescent="0.25">
      <c r="A153" s="1">
        <v>2017</v>
      </c>
      <c r="B153" s="1" t="s">
        <v>44</v>
      </c>
      <c r="C153" s="48">
        <f>SUM('Natural Gas Usage'!O7+'Natural Gas Usage'!O16+'Natural Gas Usage'!O24+'Natural Gas Usage'!O33+'Natural Gas Usage'!O42+'Natural Gas Usage'!O51+'Natural Gas Usage'!O60+'Natural Gas Usage'!O69)</f>
        <v>17374.399999999994</v>
      </c>
      <c r="D153"/>
      <c r="E153" s="15" t="s">
        <v>14</v>
      </c>
      <c r="F153" s="58"/>
      <c r="G153" s="58"/>
      <c r="H153" s="15" t="s">
        <v>14</v>
      </c>
      <c r="I153" s="32"/>
      <c r="J153" s="18" t="s">
        <v>14</v>
      </c>
      <c r="K153"/>
    </row>
    <row r="154" spans="1:11" x14ac:dyDescent="0.25">
      <c r="A154" s="1">
        <v>2018</v>
      </c>
      <c r="B154" s="1" t="s">
        <v>44</v>
      </c>
      <c r="C154" s="48">
        <f>SUM('Natural Gas Usage'!O8+'Natural Gas Usage'!O17+'Natural Gas Usage'!O25+'Natural Gas Usage'!O34+'Natural Gas Usage'!O43+'Natural Gas Usage'!O52+'Natural Gas Usage'!O61+'Natural Gas Usage'!O70)</f>
        <v>18014.299999999996</v>
      </c>
      <c r="D154"/>
      <c r="E154" s="15" t="s">
        <v>14</v>
      </c>
      <c r="F154" s="58"/>
      <c r="G154" s="58"/>
      <c r="H154" s="15" t="s">
        <v>14</v>
      </c>
      <c r="I154" s="32"/>
      <c r="J154" s="18" t="s">
        <v>14</v>
      </c>
      <c r="K154"/>
    </row>
    <row r="155" spans="1:11" x14ac:dyDescent="0.25">
      <c r="A155" s="1">
        <v>2019</v>
      </c>
      <c r="B155" s="1" t="s">
        <v>44</v>
      </c>
      <c r="C155" s="48">
        <f>SUM('Natural Gas Usage'!O9+'Natural Gas Usage'!O18+'Natural Gas Usage'!O26+'Natural Gas Usage'!O35+'Natural Gas Usage'!O44+'Natural Gas Usage'!O53+'Natural Gas Usage'!O62+'Natural Gas Usage'!O71)</f>
        <v>17257.499999999996</v>
      </c>
      <c r="D155" s="33"/>
    </row>
    <row r="156" spans="1:11" x14ac:dyDescent="0.25">
      <c r="A156" s="1" t="s">
        <v>14</v>
      </c>
      <c r="B156" s="1" t="s">
        <v>14</v>
      </c>
      <c r="C156" s="48" t="s">
        <v>14</v>
      </c>
      <c r="D156"/>
      <c r="E156" s="15" t="s">
        <v>14</v>
      </c>
      <c r="F156" s="15" t="s">
        <v>14</v>
      </c>
      <c r="G156" s="59"/>
      <c r="H156" s="15" t="s">
        <v>14</v>
      </c>
      <c r="I156" s="34" t="s">
        <v>14</v>
      </c>
      <c r="J156" s="1" t="s">
        <v>14</v>
      </c>
      <c r="K156" s="1" t="s">
        <v>14</v>
      </c>
    </row>
    <row r="157" spans="1:11" x14ac:dyDescent="0.25">
      <c r="A157" s="1">
        <v>2020</v>
      </c>
      <c r="B157" s="1" t="s">
        <v>44</v>
      </c>
      <c r="C157" s="48">
        <f>SUM(C20+C38+C56+C74+C92+C110+C128+C146)</f>
        <v>13271.200000000003</v>
      </c>
      <c r="D157"/>
      <c r="E157" s="15">
        <f>SUM(E20+E38+E56+E74+E92+E110+E128+E146)</f>
        <v>39867.410000000003</v>
      </c>
      <c r="F157" s="15">
        <f>SUM(F20+F38+F56+F74+F92+F110+F128+F146)</f>
        <v>25563.46</v>
      </c>
      <c r="G157" s="59"/>
      <c r="H157" s="15">
        <f>SUM(H20+H38+H56+H74+H92+H110+H128+H146)</f>
        <v>65430.87000000001</v>
      </c>
      <c r="I157" s="26">
        <f>E157/C157</f>
        <v>3.0040546446440408</v>
      </c>
      <c r="J157" s="1">
        <f>F157/C157</f>
        <v>1.9262357586352399</v>
      </c>
      <c r="K157" s="1">
        <f>H157/C157</f>
        <v>4.9302904032792814</v>
      </c>
    </row>
    <row r="158" spans="1:11" x14ac:dyDescent="0.25">
      <c r="A158" s="1"/>
      <c r="B158" s="1"/>
      <c r="C158" s="48"/>
      <c r="D158"/>
      <c r="E158" s="15"/>
      <c r="F158" s="58"/>
      <c r="G158" s="58"/>
      <c r="H158" s="15"/>
      <c r="I158" s="32"/>
      <c r="J158" s="18"/>
      <c r="K158"/>
    </row>
    <row r="159" spans="1:11" x14ac:dyDescent="0.25">
      <c r="A159" s="1"/>
      <c r="B159" s="2" t="s">
        <v>46</v>
      </c>
      <c r="C159" s="97">
        <f>SUM(C153+C154+C155)/3</f>
        <v>17548.733333333326</v>
      </c>
      <c r="D159"/>
      <c r="E159" s="3">
        <f>C159*I157</f>
        <v>52717.35387761968</v>
      </c>
      <c r="F159" s="57">
        <f>C159*J157</f>
        <v>33802.997665420844</v>
      </c>
      <c r="G159" s="58"/>
      <c r="H159" s="3">
        <f>E159+F159</f>
        <v>86520.351543040524</v>
      </c>
      <c r="I159" s="36">
        <f>E159/C159</f>
        <v>3.0040546446440408</v>
      </c>
      <c r="J159" s="30">
        <f>F159/C159</f>
        <v>1.9262357586352401</v>
      </c>
      <c r="K159" s="30">
        <f>H159/C159</f>
        <v>4.9302904032792805</v>
      </c>
    </row>
  </sheetData>
  <pageMargins left="0.2" right="0.2" top="0.75" bottom="0.7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6"/>
  <sheetViews>
    <sheetView workbookViewId="0">
      <selection sqref="A1:A1048576"/>
    </sheetView>
  </sheetViews>
  <sheetFormatPr defaultRowHeight="15" x14ac:dyDescent="0.25"/>
  <cols>
    <col min="1" max="1" width="27.5703125" style="26" customWidth="1"/>
    <col min="16" max="16" width="2.7109375" customWidth="1"/>
    <col min="17" max="17" width="9.140625" style="33"/>
  </cols>
  <sheetData>
    <row r="1" spans="1:18" x14ac:dyDescent="0.25">
      <c r="A1" s="54" t="s">
        <v>117</v>
      </c>
      <c r="B1" s="9" t="s">
        <v>14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"/>
    </row>
    <row r="2" spans="1:18" x14ac:dyDescent="0.25">
      <c r="A2" s="37" t="s">
        <v>179</v>
      </c>
      <c r="B2" s="13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"/>
    </row>
    <row r="3" spans="1:18" x14ac:dyDescent="0.25">
      <c r="B3" s="13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1"/>
    </row>
    <row r="4" spans="1:18" x14ac:dyDescent="0.25">
      <c r="B4" s="9" t="s">
        <v>14</v>
      </c>
      <c r="C4" s="48"/>
      <c r="D4" s="49" t="s">
        <v>14</v>
      </c>
      <c r="E4" s="48"/>
      <c r="F4" s="49" t="s">
        <v>14</v>
      </c>
      <c r="G4" s="48"/>
      <c r="H4" s="48"/>
      <c r="I4" s="48"/>
      <c r="J4" s="48"/>
      <c r="K4" s="48"/>
      <c r="L4" s="48"/>
      <c r="M4" s="48"/>
      <c r="N4" s="48"/>
      <c r="O4" s="1"/>
      <c r="Q4" s="63" t="s">
        <v>138</v>
      </c>
    </row>
    <row r="5" spans="1:18" x14ac:dyDescent="0.25">
      <c r="A5" s="38" t="s">
        <v>45</v>
      </c>
      <c r="B5" s="5" t="s">
        <v>23</v>
      </c>
      <c r="C5" s="50" t="s">
        <v>24</v>
      </c>
      <c r="D5" s="50" t="s">
        <v>25</v>
      </c>
      <c r="E5" s="50" t="s">
        <v>26</v>
      </c>
      <c r="F5" s="50" t="s">
        <v>27</v>
      </c>
      <c r="G5" s="50" t="s">
        <v>28</v>
      </c>
      <c r="H5" s="50" t="s">
        <v>29</v>
      </c>
      <c r="I5" s="50" t="s">
        <v>30</v>
      </c>
      <c r="J5" s="50" t="s">
        <v>31</v>
      </c>
      <c r="K5" s="50" t="s">
        <v>32</v>
      </c>
      <c r="L5" s="50" t="s">
        <v>109</v>
      </c>
      <c r="M5" s="50" t="s">
        <v>110</v>
      </c>
      <c r="N5" s="50" t="s">
        <v>111</v>
      </c>
      <c r="O5" s="50" t="s">
        <v>21</v>
      </c>
      <c r="Q5" s="69" t="s">
        <v>23</v>
      </c>
    </row>
    <row r="6" spans="1:18" x14ac:dyDescent="0.25">
      <c r="B6" s="1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1"/>
    </row>
    <row r="7" spans="1:18" x14ac:dyDescent="0.25">
      <c r="A7" s="26" t="s">
        <v>9</v>
      </c>
      <c r="B7" s="22">
        <v>2017</v>
      </c>
      <c r="C7" s="48">
        <v>2575.6999999999998</v>
      </c>
      <c r="D7" s="48">
        <v>2093.9</v>
      </c>
      <c r="E7" s="48">
        <v>1674.2</v>
      </c>
      <c r="F7" s="48">
        <v>806.8</v>
      </c>
      <c r="G7" s="48">
        <v>591</v>
      </c>
      <c r="H7" s="48">
        <v>237.7</v>
      </c>
      <c r="I7" s="48">
        <v>90.7</v>
      </c>
      <c r="J7" s="48">
        <v>84.6</v>
      </c>
      <c r="K7" s="48">
        <v>214.1</v>
      </c>
      <c r="L7" s="48">
        <v>0</v>
      </c>
      <c r="M7" s="48">
        <v>1156.2</v>
      </c>
      <c r="N7" s="48">
        <v>2116.4</v>
      </c>
      <c r="O7" s="48">
        <f t="shared" ref="O7:O9" si="0">SUM(C7:N7)</f>
        <v>11641.300000000001</v>
      </c>
    </row>
    <row r="8" spans="1:18" x14ac:dyDescent="0.25">
      <c r="B8" s="22">
        <v>2018</v>
      </c>
      <c r="C8" s="48">
        <v>2979.9</v>
      </c>
      <c r="D8" s="48">
        <v>1876.9</v>
      </c>
      <c r="E8" s="48">
        <v>1466</v>
      </c>
      <c r="F8" s="48">
        <v>1368.3</v>
      </c>
      <c r="G8" s="48">
        <v>391.2</v>
      </c>
      <c r="H8" s="48">
        <v>121.9</v>
      </c>
      <c r="I8" s="48">
        <v>86.8</v>
      </c>
      <c r="J8" s="48">
        <v>82.1</v>
      </c>
      <c r="K8" s="48">
        <f>270-188.6</f>
        <v>81.400000000000006</v>
      </c>
      <c r="L8" s="48">
        <v>155</v>
      </c>
      <c r="M8" s="48">
        <v>1267.9000000000001</v>
      </c>
      <c r="N8" s="48">
        <v>1978.7</v>
      </c>
      <c r="O8" s="48">
        <f t="shared" si="0"/>
        <v>11856.1</v>
      </c>
      <c r="Q8" s="70">
        <f>SUM(C9:G9)</f>
        <v>7773.4000000000005</v>
      </c>
    </row>
    <row r="9" spans="1:18" x14ac:dyDescent="0.25">
      <c r="B9" s="22">
        <v>2019</v>
      </c>
      <c r="C9" s="48">
        <v>2201.6</v>
      </c>
      <c r="D9" s="48">
        <v>2226.3000000000002</v>
      </c>
      <c r="E9" s="48">
        <v>1814.8</v>
      </c>
      <c r="F9" s="48">
        <v>986.1</v>
      </c>
      <c r="G9" s="48">
        <v>544.6</v>
      </c>
      <c r="H9" s="48">
        <v>223</v>
      </c>
      <c r="I9" s="48">
        <v>153.6</v>
      </c>
      <c r="J9" s="48">
        <v>106.5</v>
      </c>
      <c r="K9" s="48">
        <v>140.69999999999999</v>
      </c>
      <c r="L9" s="48">
        <v>112.1</v>
      </c>
      <c r="M9" s="48">
        <v>1320.3</v>
      </c>
      <c r="N9" s="48">
        <v>1951</v>
      </c>
      <c r="O9" s="48">
        <f t="shared" si="0"/>
        <v>11780.6</v>
      </c>
    </row>
    <row r="10" spans="1:18" x14ac:dyDescent="0.25">
      <c r="B10" s="22" t="s">
        <v>14</v>
      </c>
      <c r="C10" s="48" t="s">
        <v>14</v>
      </c>
      <c r="D10" s="48" t="s">
        <v>14</v>
      </c>
      <c r="E10" s="48" t="s">
        <v>14</v>
      </c>
      <c r="F10" s="48" t="s">
        <v>14</v>
      </c>
      <c r="G10" s="48" t="s">
        <v>14</v>
      </c>
      <c r="H10" s="48" t="s">
        <v>14</v>
      </c>
      <c r="I10" s="48" t="s">
        <v>14</v>
      </c>
      <c r="J10" s="48" t="s">
        <v>14</v>
      </c>
      <c r="K10" s="48" t="s">
        <v>14</v>
      </c>
      <c r="L10" s="48" t="s">
        <v>14</v>
      </c>
      <c r="M10" s="48" t="s">
        <v>14</v>
      </c>
      <c r="N10" s="48" t="s">
        <v>14</v>
      </c>
      <c r="O10" s="48" t="s">
        <v>14</v>
      </c>
      <c r="R10" s="71" t="s">
        <v>14</v>
      </c>
    </row>
    <row r="11" spans="1:18" x14ac:dyDescent="0.25">
      <c r="B11" s="22">
        <v>2020</v>
      </c>
      <c r="C11" s="48">
        <v>2485.1</v>
      </c>
      <c r="D11" s="48">
        <v>2322.5</v>
      </c>
      <c r="E11" s="48">
        <v>2136.8000000000002</v>
      </c>
      <c r="F11" s="48">
        <v>1527.6</v>
      </c>
      <c r="G11" s="48">
        <v>1038.2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f t="shared" ref="O11" si="1">SUM(C11:N11)</f>
        <v>9510.2000000000007</v>
      </c>
    </row>
    <row r="12" spans="1:18" x14ac:dyDescent="0.25">
      <c r="B12" s="22" t="s">
        <v>14</v>
      </c>
      <c r="C12" s="48" t="s">
        <v>14</v>
      </c>
      <c r="D12" s="48" t="s">
        <v>14</v>
      </c>
      <c r="E12" s="48" t="s">
        <v>14</v>
      </c>
      <c r="F12" s="48" t="s">
        <v>14</v>
      </c>
      <c r="G12" s="48" t="s">
        <v>14</v>
      </c>
      <c r="H12" s="48" t="s">
        <v>14</v>
      </c>
      <c r="I12" s="48" t="s">
        <v>14</v>
      </c>
      <c r="J12" s="48" t="s">
        <v>14</v>
      </c>
      <c r="K12" s="48" t="s">
        <v>14</v>
      </c>
      <c r="L12" s="48" t="s">
        <v>14</v>
      </c>
      <c r="M12" s="48" t="s">
        <v>14</v>
      </c>
      <c r="N12" s="48" t="s">
        <v>14</v>
      </c>
      <c r="O12" s="48" t="s">
        <v>14</v>
      </c>
    </row>
    <row r="13" spans="1:18" x14ac:dyDescent="0.25"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  <c r="Q13" s="63" t="s">
        <v>138</v>
      </c>
    </row>
    <row r="14" spans="1:18" x14ac:dyDescent="0.25">
      <c r="A14" s="38" t="s">
        <v>45</v>
      </c>
      <c r="B14" s="5" t="s">
        <v>23</v>
      </c>
      <c r="C14" s="50" t="s">
        <v>24</v>
      </c>
      <c r="D14" s="50" t="s">
        <v>25</v>
      </c>
      <c r="E14" s="50" t="s">
        <v>26</v>
      </c>
      <c r="F14" s="50" t="s">
        <v>27</v>
      </c>
      <c r="G14" s="50" t="s">
        <v>28</v>
      </c>
      <c r="H14" s="50" t="s">
        <v>29</v>
      </c>
      <c r="I14" s="50" t="s">
        <v>30</v>
      </c>
      <c r="J14" s="50" t="s">
        <v>31</v>
      </c>
      <c r="K14" s="50" t="s">
        <v>32</v>
      </c>
      <c r="L14" s="50" t="s">
        <v>109</v>
      </c>
      <c r="M14" s="50" t="s">
        <v>110</v>
      </c>
      <c r="N14" s="50" t="s">
        <v>111</v>
      </c>
      <c r="O14" s="50" t="s">
        <v>21</v>
      </c>
      <c r="Q14" s="69" t="s">
        <v>23</v>
      </c>
    </row>
    <row r="15" spans="1:18" x14ac:dyDescent="0.25">
      <c r="B15" s="13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1"/>
    </row>
    <row r="16" spans="1:18" x14ac:dyDescent="0.25">
      <c r="A16" s="26" t="s">
        <v>61</v>
      </c>
      <c r="B16" s="1">
        <v>2017</v>
      </c>
      <c r="C16" s="48">
        <v>741</v>
      </c>
      <c r="D16" s="48">
        <v>713.5</v>
      </c>
      <c r="E16" s="48">
        <v>542.1</v>
      </c>
      <c r="F16" s="48">
        <v>228.7</v>
      </c>
      <c r="G16" s="48">
        <v>70.8</v>
      </c>
      <c r="H16" s="48">
        <v>14</v>
      </c>
      <c r="I16" s="48">
        <v>6.2</v>
      </c>
      <c r="J16" s="48">
        <v>15.6</v>
      </c>
      <c r="K16" s="48">
        <v>22.6</v>
      </c>
      <c r="L16" s="48">
        <v>21</v>
      </c>
      <c r="M16" s="48">
        <v>238.3</v>
      </c>
      <c r="N16" s="48">
        <v>513.4</v>
      </c>
      <c r="O16" s="48">
        <f t="shared" ref="O16:O18" si="2">SUM(C16:N16)</f>
        <v>3127.2</v>
      </c>
      <c r="Q16" s="70" t="s">
        <v>14</v>
      </c>
    </row>
    <row r="17" spans="1:19" x14ac:dyDescent="0.25">
      <c r="B17" s="1">
        <v>2018</v>
      </c>
      <c r="C17" s="48">
        <v>994.9</v>
      </c>
      <c r="D17" s="48">
        <v>590.29999999999995</v>
      </c>
      <c r="E17" s="48">
        <v>488.6</v>
      </c>
      <c r="F17" s="48">
        <v>414.5</v>
      </c>
      <c r="G17" s="48">
        <v>78.099999999999994</v>
      </c>
      <c r="H17" s="48">
        <v>7.5</v>
      </c>
      <c r="I17" s="48">
        <v>4.4000000000000004</v>
      </c>
      <c r="J17" s="48">
        <v>5.3</v>
      </c>
      <c r="K17" s="48">
        <v>5.3</v>
      </c>
      <c r="L17" s="48">
        <v>30.6</v>
      </c>
      <c r="M17" s="48">
        <v>257.3</v>
      </c>
      <c r="N17" s="48">
        <v>554.70000000000005</v>
      </c>
      <c r="O17" s="48">
        <f t="shared" si="2"/>
        <v>3431.5</v>
      </c>
      <c r="Q17" s="70">
        <f>SUM(C18:G18)</f>
        <v>2222.3000000000002</v>
      </c>
      <c r="S17" s="71" t="s">
        <v>14</v>
      </c>
    </row>
    <row r="18" spans="1:19" x14ac:dyDescent="0.25">
      <c r="B18" s="1">
        <v>2019</v>
      </c>
      <c r="C18" s="48">
        <v>576.1</v>
      </c>
      <c r="D18" s="48">
        <v>774.1</v>
      </c>
      <c r="E18" s="48">
        <v>559.6</v>
      </c>
      <c r="F18" s="48">
        <v>272.39999999999998</v>
      </c>
      <c r="G18" s="48">
        <v>40.1</v>
      </c>
      <c r="H18" s="48">
        <v>9.1</v>
      </c>
      <c r="I18" s="48">
        <v>7.3</v>
      </c>
      <c r="J18" s="48">
        <v>10.4</v>
      </c>
      <c r="K18" s="48">
        <v>8</v>
      </c>
      <c r="L18" s="48">
        <v>27.4</v>
      </c>
      <c r="M18" s="48">
        <v>292.5</v>
      </c>
      <c r="N18" s="48">
        <v>411</v>
      </c>
      <c r="O18" s="48">
        <f t="shared" si="2"/>
        <v>2988.0000000000005</v>
      </c>
    </row>
    <row r="19" spans="1:19" x14ac:dyDescent="0.25">
      <c r="B19" s="1" t="s">
        <v>14</v>
      </c>
      <c r="C19" s="48" t="s">
        <v>14</v>
      </c>
      <c r="D19" s="48" t="s">
        <v>14</v>
      </c>
      <c r="E19" s="48" t="s">
        <v>14</v>
      </c>
      <c r="F19" s="48" t="s">
        <v>14</v>
      </c>
      <c r="G19" s="48" t="s">
        <v>14</v>
      </c>
      <c r="H19" s="48" t="s">
        <v>14</v>
      </c>
      <c r="I19" s="48" t="s">
        <v>14</v>
      </c>
      <c r="J19" s="48" t="s">
        <v>14</v>
      </c>
      <c r="K19" s="48" t="s">
        <v>14</v>
      </c>
      <c r="L19" s="48" t="s">
        <v>14</v>
      </c>
      <c r="M19" s="48" t="s">
        <v>14</v>
      </c>
      <c r="N19" s="48" t="s">
        <v>14</v>
      </c>
      <c r="O19" s="48" t="s">
        <v>14</v>
      </c>
    </row>
    <row r="20" spans="1:19" x14ac:dyDescent="0.25">
      <c r="B20" s="1">
        <v>2020</v>
      </c>
      <c r="C20" s="48">
        <v>489.3</v>
      </c>
      <c r="D20" s="48">
        <v>460.3</v>
      </c>
      <c r="E20" s="48">
        <v>384.7</v>
      </c>
      <c r="F20" s="48">
        <v>342.7</v>
      </c>
      <c r="G20" s="48">
        <v>128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f t="shared" ref="O20" si="3">SUM(C20:N20)</f>
        <v>1805</v>
      </c>
    </row>
    <row r="21" spans="1:19" x14ac:dyDescent="0.25">
      <c r="B21" s="1" t="s">
        <v>14</v>
      </c>
      <c r="C21" s="48" t="s">
        <v>14</v>
      </c>
      <c r="D21" s="48" t="s">
        <v>14</v>
      </c>
      <c r="E21" s="48" t="s">
        <v>14</v>
      </c>
      <c r="F21" s="48" t="s">
        <v>14</v>
      </c>
      <c r="G21" s="48" t="s">
        <v>14</v>
      </c>
      <c r="H21" s="48" t="s">
        <v>14</v>
      </c>
      <c r="I21" s="48" t="s">
        <v>14</v>
      </c>
      <c r="J21" s="48" t="s">
        <v>14</v>
      </c>
      <c r="K21" s="48" t="s">
        <v>14</v>
      </c>
      <c r="L21" s="48" t="s">
        <v>14</v>
      </c>
      <c r="M21" s="48" t="s">
        <v>14</v>
      </c>
      <c r="N21" s="48" t="s">
        <v>14</v>
      </c>
      <c r="O21" s="48" t="s">
        <v>14</v>
      </c>
    </row>
    <row r="22" spans="1:19" x14ac:dyDescent="0.25">
      <c r="A22" s="38" t="s">
        <v>45</v>
      </c>
      <c r="B22" s="5" t="s">
        <v>23</v>
      </c>
      <c r="C22" s="50" t="s">
        <v>24</v>
      </c>
      <c r="D22" s="50" t="s">
        <v>25</v>
      </c>
      <c r="E22" s="50" t="s">
        <v>26</v>
      </c>
      <c r="F22" s="50" t="s">
        <v>27</v>
      </c>
      <c r="G22" s="50" t="s">
        <v>28</v>
      </c>
      <c r="H22" s="50" t="s">
        <v>29</v>
      </c>
      <c r="I22" s="50" t="s">
        <v>30</v>
      </c>
      <c r="J22" s="50" t="s">
        <v>31</v>
      </c>
      <c r="K22" s="50" t="s">
        <v>32</v>
      </c>
      <c r="L22" s="50" t="s">
        <v>109</v>
      </c>
      <c r="M22" s="50" t="s">
        <v>110</v>
      </c>
      <c r="N22" s="50" t="s">
        <v>111</v>
      </c>
      <c r="O22" s="50" t="s">
        <v>21</v>
      </c>
      <c r="Q22" s="63" t="s">
        <v>138</v>
      </c>
    </row>
    <row r="23" spans="1:19" x14ac:dyDescent="0.25">
      <c r="B23" s="1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"/>
      <c r="Q23" s="69" t="s">
        <v>23</v>
      </c>
    </row>
    <row r="24" spans="1:19" x14ac:dyDescent="0.25">
      <c r="A24" s="26" t="s">
        <v>112</v>
      </c>
      <c r="B24" s="1">
        <v>2017</v>
      </c>
      <c r="C24" s="48">
        <v>351.4</v>
      </c>
      <c r="D24" s="48">
        <v>293.5</v>
      </c>
      <c r="E24" s="48">
        <v>244.2</v>
      </c>
      <c r="F24" s="48">
        <v>86.5</v>
      </c>
      <c r="G24" s="48">
        <v>29.8</v>
      </c>
      <c r="H24" s="48">
        <v>2.7</v>
      </c>
      <c r="I24" s="48">
        <v>0.1</v>
      </c>
      <c r="J24" s="48">
        <v>0.2</v>
      </c>
      <c r="K24" s="48">
        <v>0.2</v>
      </c>
      <c r="L24" s="48">
        <v>1.6</v>
      </c>
      <c r="M24" s="48">
        <v>71.8</v>
      </c>
      <c r="N24" s="48">
        <v>244.8</v>
      </c>
      <c r="O24" s="48">
        <f t="shared" ref="O24:O26" si="4">SUM(C24:N24)</f>
        <v>1326.8</v>
      </c>
    </row>
    <row r="25" spans="1:19" x14ac:dyDescent="0.25">
      <c r="A25" s="26" t="s">
        <v>14</v>
      </c>
      <c r="B25" s="1">
        <v>2018</v>
      </c>
      <c r="C25" s="48">
        <v>451.2</v>
      </c>
      <c r="D25" s="48">
        <v>257.39999999999998</v>
      </c>
      <c r="E25" s="48">
        <v>218.4</v>
      </c>
      <c r="F25" s="48">
        <v>190.1</v>
      </c>
      <c r="G25" s="48">
        <v>33</v>
      </c>
      <c r="H25" s="48">
        <v>0.1</v>
      </c>
      <c r="I25" s="48">
        <v>0.1</v>
      </c>
      <c r="J25" s="48">
        <v>0.1</v>
      </c>
      <c r="K25" s="48">
        <v>0.2</v>
      </c>
      <c r="L25" s="48">
        <v>15.5</v>
      </c>
      <c r="M25" s="48">
        <v>143.1</v>
      </c>
      <c r="N25" s="48">
        <v>273.8</v>
      </c>
      <c r="O25" s="48">
        <f t="shared" si="4"/>
        <v>1582.9999999999995</v>
      </c>
      <c r="Q25" s="70">
        <f>SUM(C26:G26)</f>
        <v>1080.3</v>
      </c>
      <c r="S25" s="71" t="s">
        <v>14</v>
      </c>
    </row>
    <row r="26" spans="1:19" x14ac:dyDescent="0.25">
      <c r="B26" s="1">
        <v>2019</v>
      </c>
      <c r="C26" s="48">
        <v>291.2</v>
      </c>
      <c r="D26" s="48">
        <v>354</v>
      </c>
      <c r="E26" s="48">
        <v>286.89999999999998</v>
      </c>
      <c r="F26" s="48">
        <v>128.1</v>
      </c>
      <c r="G26" s="48">
        <v>20.100000000000001</v>
      </c>
      <c r="H26" s="48">
        <v>0.1</v>
      </c>
      <c r="I26" s="48">
        <v>0.1</v>
      </c>
      <c r="J26" s="48">
        <v>0.1</v>
      </c>
      <c r="K26" s="48">
        <v>3.8</v>
      </c>
      <c r="L26" s="48">
        <v>23.8</v>
      </c>
      <c r="M26" s="48">
        <v>101.7</v>
      </c>
      <c r="N26" s="48">
        <v>212.9</v>
      </c>
      <c r="O26" s="48">
        <f t="shared" si="4"/>
        <v>1422.7999999999997</v>
      </c>
    </row>
    <row r="27" spans="1:19" x14ac:dyDescent="0.25">
      <c r="B27" s="1" t="s">
        <v>14</v>
      </c>
      <c r="C27" s="48" t="s">
        <v>14</v>
      </c>
      <c r="D27" s="48" t="s">
        <v>14</v>
      </c>
      <c r="E27" s="48" t="s">
        <v>14</v>
      </c>
      <c r="F27" s="48" t="s">
        <v>14</v>
      </c>
      <c r="G27" s="48" t="s">
        <v>14</v>
      </c>
      <c r="H27" s="48" t="s">
        <v>14</v>
      </c>
      <c r="I27" s="48" t="s">
        <v>14</v>
      </c>
      <c r="J27" s="48" t="s">
        <v>14</v>
      </c>
      <c r="K27" s="48" t="s">
        <v>14</v>
      </c>
      <c r="L27" s="48" t="s">
        <v>14</v>
      </c>
      <c r="M27" s="48"/>
      <c r="N27" s="48" t="s">
        <v>14</v>
      </c>
      <c r="O27" s="48" t="s">
        <v>14</v>
      </c>
    </row>
    <row r="28" spans="1:19" x14ac:dyDescent="0.25">
      <c r="B28" s="1">
        <v>2020</v>
      </c>
      <c r="C28" s="48">
        <v>333.9</v>
      </c>
      <c r="D28" s="48">
        <v>298.10000000000002</v>
      </c>
      <c r="E28" s="48">
        <v>251.9</v>
      </c>
      <c r="F28" s="48">
        <v>153.5</v>
      </c>
      <c r="G28" s="48">
        <v>30.8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f t="shared" ref="O28" si="5">SUM(C28:N28)</f>
        <v>1068.2</v>
      </c>
    </row>
    <row r="29" spans="1:19" x14ac:dyDescent="0.25">
      <c r="B29" s="1" t="s">
        <v>14</v>
      </c>
      <c r="C29" s="48" t="s">
        <v>14</v>
      </c>
      <c r="D29" s="48" t="s">
        <v>14</v>
      </c>
      <c r="E29" s="48" t="s">
        <v>14</v>
      </c>
      <c r="F29" s="48" t="s">
        <v>14</v>
      </c>
      <c r="G29" s="48" t="s">
        <v>14</v>
      </c>
      <c r="H29" s="48" t="s">
        <v>14</v>
      </c>
      <c r="I29" s="48" t="s">
        <v>14</v>
      </c>
      <c r="J29" s="48" t="s">
        <v>14</v>
      </c>
      <c r="K29" s="48" t="s">
        <v>14</v>
      </c>
      <c r="L29" s="48" t="s">
        <v>14</v>
      </c>
      <c r="M29" s="48" t="s">
        <v>14</v>
      </c>
      <c r="N29" s="48" t="s">
        <v>14</v>
      </c>
      <c r="O29" s="48" t="s">
        <v>14</v>
      </c>
    </row>
    <row r="30" spans="1:19" x14ac:dyDescent="0.25">
      <c r="B30" s="13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1"/>
      <c r="Q30" s="63" t="s">
        <v>138</v>
      </c>
    </row>
    <row r="31" spans="1:19" x14ac:dyDescent="0.25">
      <c r="A31" s="38" t="s">
        <v>45</v>
      </c>
      <c r="B31" s="5" t="s">
        <v>23</v>
      </c>
      <c r="C31" s="50" t="s">
        <v>24</v>
      </c>
      <c r="D31" s="50" t="s">
        <v>25</v>
      </c>
      <c r="E31" s="50" t="s">
        <v>26</v>
      </c>
      <c r="F31" s="50" t="s">
        <v>27</v>
      </c>
      <c r="G31" s="50" t="s">
        <v>28</v>
      </c>
      <c r="H31" s="50" t="s">
        <v>29</v>
      </c>
      <c r="I31" s="50" t="s">
        <v>30</v>
      </c>
      <c r="J31" s="50" t="s">
        <v>31</v>
      </c>
      <c r="K31" s="50" t="s">
        <v>32</v>
      </c>
      <c r="L31" s="50" t="s">
        <v>109</v>
      </c>
      <c r="M31" s="50" t="s">
        <v>110</v>
      </c>
      <c r="N31" s="50" t="s">
        <v>111</v>
      </c>
      <c r="O31" s="50" t="s">
        <v>21</v>
      </c>
      <c r="Q31" s="69" t="s">
        <v>23</v>
      </c>
    </row>
    <row r="32" spans="1:19" x14ac:dyDescent="0.25">
      <c r="B32" s="1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1"/>
    </row>
    <row r="33" spans="1:19" x14ac:dyDescent="0.25">
      <c r="A33" s="26" t="s">
        <v>113</v>
      </c>
      <c r="B33" s="1">
        <v>2017</v>
      </c>
      <c r="C33" s="48">
        <v>54.9</v>
      </c>
      <c r="D33" s="48">
        <v>44.8</v>
      </c>
      <c r="E33" s="48">
        <v>80.3</v>
      </c>
      <c r="F33" s="48">
        <v>23.3</v>
      </c>
      <c r="G33" s="48">
        <v>0</v>
      </c>
      <c r="H33" s="48">
        <v>0</v>
      </c>
      <c r="I33" s="48">
        <v>0</v>
      </c>
      <c r="J33" s="48">
        <v>0.1</v>
      </c>
      <c r="K33" s="48">
        <v>0</v>
      </c>
      <c r="L33" s="48">
        <v>0.2</v>
      </c>
      <c r="M33" s="48">
        <v>60.8</v>
      </c>
      <c r="N33" s="48">
        <v>105.2</v>
      </c>
      <c r="O33" s="48">
        <f t="shared" ref="O33:O35" si="6">SUM(C33:N33)</f>
        <v>369.59999999999997</v>
      </c>
    </row>
    <row r="34" spans="1:19" x14ac:dyDescent="0.25">
      <c r="B34" s="1">
        <v>2018</v>
      </c>
      <c r="C34" s="48">
        <v>113.4</v>
      </c>
      <c r="D34" s="48">
        <v>34.799999999999997</v>
      </c>
      <c r="E34" s="48">
        <v>63.1</v>
      </c>
      <c r="F34" s="48">
        <v>70.2</v>
      </c>
      <c r="G34" s="48">
        <v>14.4</v>
      </c>
      <c r="H34" s="48">
        <v>0.1</v>
      </c>
      <c r="I34" s="48">
        <v>0</v>
      </c>
      <c r="J34" s="48">
        <v>0</v>
      </c>
      <c r="K34" s="48">
        <v>0.1</v>
      </c>
      <c r="L34" s="48">
        <v>0</v>
      </c>
      <c r="M34" s="48">
        <v>66.8</v>
      </c>
      <c r="N34" s="48">
        <v>92.4</v>
      </c>
      <c r="O34" s="48">
        <f t="shared" si="6"/>
        <v>455.30000000000007</v>
      </c>
      <c r="Q34" s="70">
        <f>SUM(C35:G35)</f>
        <v>284</v>
      </c>
      <c r="S34" s="71" t="s">
        <v>14</v>
      </c>
    </row>
    <row r="35" spans="1:19" x14ac:dyDescent="0.25">
      <c r="B35" s="1">
        <v>2019</v>
      </c>
      <c r="C35" s="48">
        <v>105.3</v>
      </c>
      <c r="D35" s="48">
        <v>52.3</v>
      </c>
      <c r="E35" s="48">
        <v>57.1</v>
      </c>
      <c r="F35" s="48">
        <v>69.3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59.4</v>
      </c>
      <c r="N35" s="48">
        <v>93.7</v>
      </c>
      <c r="O35" s="48">
        <f t="shared" si="6"/>
        <v>437.09999999999997</v>
      </c>
    </row>
    <row r="36" spans="1:19" x14ac:dyDescent="0.25">
      <c r="B36" s="1" t="s">
        <v>14</v>
      </c>
      <c r="C36" s="48" t="s">
        <v>14</v>
      </c>
      <c r="D36" s="48" t="s">
        <v>14</v>
      </c>
      <c r="E36" s="48" t="s">
        <v>14</v>
      </c>
      <c r="F36" s="48" t="s">
        <v>14</v>
      </c>
      <c r="G36" s="48" t="s">
        <v>14</v>
      </c>
      <c r="H36" s="48" t="s">
        <v>14</v>
      </c>
      <c r="I36" s="48" t="s">
        <v>14</v>
      </c>
      <c r="J36" s="48" t="s">
        <v>14</v>
      </c>
      <c r="K36" s="48" t="s">
        <v>14</v>
      </c>
      <c r="L36" s="48" t="s">
        <v>14</v>
      </c>
      <c r="M36" s="48" t="s">
        <v>14</v>
      </c>
      <c r="N36" s="48" t="s">
        <v>14</v>
      </c>
      <c r="O36" s="48" t="s">
        <v>14</v>
      </c>
    </row>
    <row r="37" spans="1:19" x14ac:dyDescent="0.25">
      <c r="B37" s="1">
        <v>2020</v>
      </c>
      <c r="C37" s="48">
        <v>100.6</v>
      </c>
      <c r="D37" s="48">
        <v>101.2</v>
      </c>
      <c r="E37" s="48">
        <v>74.900000000000006</v>
      </c>
      <c r="F37" s="48">
        <v>68</v>
      </c>
      <c r="G37" s="48">
        <v>73.400000000000006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f t="shared" ref="O37" si="7">SUM(C37:N37)</f>
        <v>418.1</v>
      </c>
    </row>
    <row r="38" spans="1:19" x14ac:dyDescent="0.25">
      <c r="B38" s="1" t="s">
        <v>14</v>
      </c>
      <c r="C38" s="48" t="s">
        <v>14</v>
      </c>
      <c r="D38" s="48" t="s">
        <v>14</v>
      </c>
      <c r="E38" s="48" t="s">
        <v>14</v>
      </c>
      <c r="F38" s="48" t="s">
        <v>14</v>
      </c>
      <c r="G38" s="48" t="s">
        <v>14</v>
      </c>
      <c r="H38" s="48" t="s">
        <v>14</v>
      </c>
      <c r="I38" s="48" t="s">
        <v>14</v>
      </c>
      <c r="J38" s="48" t="s">
        <v>14</v>
      </c>
      <c r="K38" s="48" t="s">
        <v>14</v>
      </c>
      <c r="L38" s="48" t="s">
        <v>14</v>
      </c>
      <c r="M38" s="48" t="s">
        <v>14</v>
      </c>
      <c r="N38" s="48" t="s">
        <v>14</v>
      </c>
      <c r="O38" s="48" t="s">
        <v>14</v>
      </c>
    </row>
    <row r="39" spans="1:19" x14ac:dyDescent="0.25">
      <c r="B39" s="13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1"/>
      <c r="Q39" s="63" t="s">
        <v>138</v>
      </c>
    </row>
    <row r="40" spans="1:19" x14ac:dyDescent="0.25">
      <c r="A40" s="38" t="s">
        <v>45</v>
      </c>
      <c r="B40" s="5" t="s">
        <v>23</v>
      </c>
      <c r="C40" s="50" t="s">
        <v>24</v>
      </c>
      <c r="D40" s="50" t="s">
        <v>25</v>
      </c>
      <c r="E40" s="50" t="s">
        <v>26</v>
      </c>
      <c r="F40" s="50" t="s">
        <v>27</v>
      </c>
      <c r="G40" s="50" t="s">
        <v>28</v>
      </c>
      <c r="H40" s="50" t="s">
        <v>29</v>
      </c>
      <c r="I40" s="50" t="s">
        <v>30</v>
      </c>
      <c r="J40" s="50" t="s">
        <v>31</v>
      </c>
      <c r="K40" s="50" t="s">
        <v>32</v>
      </c>
      <c r="L40" s="50" t="s">
        <v>109</v>
      </c>
      <c r="M40" s="50" t="s">
        <v>110</v>
      </c>
      <c r="N40" s="50" t="s">
        <v>111</v>
      </c>
      <c r="O40" s="50" t="s">
        <v>21</v>
      </c>
      <c r="Q40" s="69" t="s">
        <v>23</v>
      </c>
    </row>
    <row r="41" spans="1:19" x14ac:dyDescent="0.25">
      <c r="B41" s="1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1"/>
    </row>
    <row r="42" spans="1:19" x14ac:dyDescent="0.25">
      <c r="A42" s="26" t="s">
        <v>115</v>
      </c>
      <c r="B42" s="1">
        <v>2017</v>
      </c>
      <c r="C42" s="48">
        <v>128.69999999999999</v>
      </c>
      <c r="D42" s="48">
        <v>126.5</v>
      </c>
      <c r="E42" s="48">
        <v>100.5</v>
      </c>
      <c r="F42" s="48">
        <v>45.9</v>
      </c>
      <c r="G42" s="48">
        <v>9.4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24.8</v>
      </c>
      <c r="N42" s="48">
        <v>88.3</v>
      </c>
      <c r="O42" s="48">
        <f>SUM(C42:N42)</f>
        <v>524.09999999999991</v>
      </c>
    </row>
    <row r="43" spans="1:19" x14ac:dyDescent="0.25">
      <c r="B43" s="1">
        <v>2018</v>
      </c>
      <c r="C43" s="48">
        <v>149.9</v>
      </c>
      <c r="D43" s="48">
        <v>89.6</v>
      </c>
      <c r="E43" s="48">
        <v>67</v>
      </c>
      <c r="F43" s="48">
        <v>78.599999999999994</v>
      </c>
      <c r="G43" s="48">
        <v>16.8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30.2</v>
      </c>
      <c r="N43" s="48">
        <v>86</v>
      </c>
      <c r="O43" s="48">
        <f t="shared" ref="O43:O44" si="8">SUM(C43:N43)</f>
        <v>518.1</v>
      </c>
      <c r="Q43" s="70">
        <f>SUM(C44:G44)</f>
        <v>344.4</v>
      </c>
      <c r="S43" s="71" t="s">
        <v>14</v>
      </c>
    </row>
    <row r="44" spans="1:19" x14ac:dyDescent="0.25">
      <c r="B44" s="1">
        <v>2019</v>
      </c>
      <c r="C44" s="48">
        <v>106.3</v>
      </c>
      <c r="D44" s="48">
        <v>114.5</v>
      </c>
      <c r="E44" s="48">
        <v>86.8</v>
      </c>
      <c r="F44" s="48">
        <v>36.4</v>
      </c>
      <c r="G44" s="48">
        <v>0.4</v>
      </c>
      <c r="H44" s="48">
        <v>0</v>
      </c>
      <c r="I44" s="48">
        <v>0</v>
      </c>
      <c r="J44" s="48">
        <v>0</v>
      </c>
      <c r="K44" s="48">
        <v>0</v>
      </c>
      <c r="L44" s="48">
        <v>0.9</v>
      </c>
      <c r="M44" s="48">
        <v>45.1</v>
      </c>
      <c r="N44" s="48">
        <v>81.8</v>
      </c>
      <c r="O44" s="48">
        <f t="shared" si="8"/>
        <v>472.2</v>
      </c>
    </row>
    <row r="45" spans="1:19" x14ac:dyDescent="0.25">
      <c r="B45" s="1" t="s">
        <v>14</v>
      </c>
      <c r="C45" s="48" t="s">
        <v>14</v>
      </c>
      <c r="D45" s="48" t="s">
        <v>14</v>
      </c>
      <c r="E45" s="48" t="s">
        <v>14</v>
      </c>
      <c r="F45" s="48" t="s">
        <v>14</v>
      </c>
      <c r="G45" s="48" t="s">
        <v>14</v>
      </c>
      <c r="H45" s="48" t="s">
        <v>14</v>
      </c>
      <c r="I45" s="48" t="s">
        <v>14</v>
      </c>
      <c r="J45" s="48" t="s">
        <v>14</v>
      </c>
      <c r="K45" s="48" t="s">
        <v>14</v>
      </c>
      <c r="L45" s="48" t="s">
        <v>14</v>
      </c>
      <c r="M45" s="48" t="s">
        <v>14</v>
      </c>
      <c r="N45" s="48" t="s">
        <v>14</v>
      </c>
      <c r="O45" s="48" t="s">
        <v>14</v>
      </c>
    </row>
    <row r="46" spans="1:19" x14ac:dyDescent="0.25">
      <c r="B46" s="1">
        <v>2020</v>
      </c>
      <c r="C46" s="48">
        <v>94.5</v>
      </c>
      <c r="D46" s="48">
        <v>90.3</v>
      </c>
      <c r="E46" s="48">
        <v>74.2</v>
      </c>
      <c r="F46" s="48">
        <v>52.9</v>
      </c>
      <c r="G46" s="48">
        <v>16.8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f t="shared" ref="O46" si="9">SUM(C46:N46)</f>
        <v>328.7</v>
      </c>
    </row>
    <row r="47" spans="1:19" x14ac:dyDescent="0.25">
      <c r="B47" s="1" t="s">
        <v>14</v>
      </c>
      <c r="C47" s="48" t="s">
        <v>14</v>
      </c>
      <c r="D47" s="48" t="s">
        <v>14</v>
      </c>
      <c r="E47" s="48" t="s">
        <v>14</v>
      </c>
      <c r="F47" s="48" t="s">
        <v>14</v>
      </c>
      <c r="G47" s="48" t="s">
        <v>14</v>
      </c>
      <c r="H47" s="48" t="s">
        <v>14</v>
      </c>
      <c r="I47" s="48" t="s">
        <v>14</v>
      </c>
      <c r="J47" s="48" t="s">
        <v>14</v>
      </c>
      <c r="K47" s="48" t="s">
        <v>14</v>
      </c>
      <c r="L47" s="48" t="s">
        <v>14</v>
      </c>
      <c r="M47" s="48" t="s">
        <v>14</v>
      </c>
      <c r="N47" s="48" t="s">
        <v>14</v>
      </c>
      <c r="O47" s="48" t="s">
        <v>14</v>
      </c>
    </row>
    <row r="48" spans="1:19" x14ac:dyDescent="0.25">
      <c r="B48" s="13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1"/>
      <c r="Q48" s="63" t="s">
        <v>138</v>
      </c>
    </row>
    <row r="49" spans="1:19" x14ac:dyDescent="0.25">
      <c r="A49" s="38" t="s">
        <v>45</v>
      </c>
      <c r="B49" s="5" t="s">
        <v>23</v>
      </c>
      <c r="C49" s="50" t="s">
        <v>24</v>
      </c>
      <c r="D49" s="50" t="s">
        <v>25</v>
      </c>
      <c r="E49" s="50" t="s">
        <v>26</v>
      </c>
      <c r="F49" s="50" t="s">
        <v>27</v>
      </c>
      <c r="G49" s="50" t="s">
        <v>28</v>
      </c>
      <c r="H49" s="50" t="s">
        <v>29</v>
      </c>
      <c r="I49" s="50" t="s">
        <v>30</v>
      </c>
      <c r="J49" s="50" t="s">
        <v>31</v>
      </c>
      <c r="K49" s="50" t="s">
        <v>32</v>
      </c>
      <c r="L49" s="50" t="s">
        <v>109</v>
      </c>
      <c r="M49" s="50" t="s">
        <v>110</v>
      </c>
      <c r="N49" s="50" t="s">
        <v>111</v>
      </c>
      <c r="O49" s="50" t="s">
        <v>21</v>
      </c>
      <c r="Q49" s="69" t="s">
        <v>23</v>
      </c>
    </row>
    <row r="50" spans="1:19" x14ac:dyDescent="0.25">
      <c r="B50" s="1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1"/>
    </row>
    <row r="51" spans="1:19" x14ac:dyDescent="0.25">
      <c r="A51" s="26" t="s">
        <v>66</v>
      </c>
      <c r="B51" s="1">
        <v>2017</v>
      </c>
      <c r="C51" s="48">
        <v>15</v>
      </c>
      <c r="D51" s="48">
        <v>13.4</v>
      </c>
      <c r="E51" s="48">
        <v>12.5</v>
      </c>
      <c r="F51" s="48">
        <v>8.3000000000000007</v>
      </c>
      <c r="G51" s="48">
        <v>4</v>
      </c>
      <c r="H51" s="48">
        <v>1.6</v>
      </c>
      <c r="I51" s="48">
        <v>0.9</v>
      </c>
      <c r="J51" s="48">
        <v>0.9</v>
      </c>
      <c r="K51" s="48">
        <v>0.4</v>
      </c>
      <c r="L51" s="48">
        <v>1.2</v>
      </c>
      <c r="M51" s="48">
        <v>8.6999999999999993</v>
      </c>
      <c r="N51" s="48">
        <v>18.899999999999999</v>
      </c>
      <c r="O51" s="48">
        <f>SUM(C51:N51)</f>
        <v>85.800000000000011</v>
      </c>
    </row>
    <row r="52" spans="1:19" x14ac:dyDescent="0.25">
      <c r="B52" s="1">
        <v>2018</v>
      </c>
      <c r="C52" s="48">
        <v>24.6</v>
      </c>
      <c r="D52" s="48">
        <v>19</v>
      </c>
      <c r="E52" s="48">
        <v>16.8</v>
      </c>
      <c r="F52" s="48">
        <v>16.100000000000001</v>
      </c>
      <c r="G52" s="48">
        <v>8.3000000000000007</v>
      </c>
      <c r="H52" s="48">
        <v>1</v>
      </c>
      <c r="I52" s="48">
        <v>0.9</v>
      </c>
      <c r="J52" s="48">
        <v>0.9</v>
      </c>
      <c r="K52" s="48">
        <v>1</v>
      </c>
      <c r="L52" s="48">
        <v>1.4</v>
      </c>
      <c r="M52" s="48">
        <v>7.1</v>
      </c>
      <c r="N52" s="48">
        <v>12.1</v>
      </c>
      <c r="O52" s="48">
        <f t="shared" ref="O52:O53" si="10">SUM(C52:N52)</f>
        <v>109.2</v>
      </c>
      <c r="Q52" s="70">
        <f>SUM(C53:G53)</f>
        <v>53.2</v>
      </c>
      <c r="S52" s="71" t="s">
        <v>14</v>
      </c>
    </row>
    <row r="53" spans="1:19" x14ac:dyDescent="0.25">
      <c r="B53" s="1">
        <v>2019</v>
      </c>
      <c r="C53" s="48">
        <v>13.9</v>
      </c>
      <c r="D53" s="48">
        <v>13.8</v>
      </c>
      <c r="E53" s="48">
        <v>12</v>
      </c>
      <c r="F53" s="48">
        <v>7.6</v>
      </c>
      <c r="G53" s="48">
        <v>5.9</v>
      </c>
      <c r="H53" s="48">
        <v>1</v>
      </c>
      <c r="I53" s="48">
        <v>1</v>
      </c>
      <c r="J53" s="48">
        <v>0.9</v>
      </c>
      <c r="K53" s="48">
        <v>0.9</v>
      </c>
      <c r="L53" s="48">
        <v>1.3</v>
      </c>
      <c r="M53" s="48">
        <v>7.1</v>
      </c>
      <c r="N53" s="48">
        <v>11.2</v>
      </c>
      <c r="O53" s="48">
        <f t="shared" si="10"/>
        <v>76.599999999999994</v>
      </c>
    </row>
    <row r="54" spans="1:19" x14ac:dyDescent="0.25">
      <c r="B54" s="1" t="s">
        <v>14</v>
      </c>
      <c r="C54" s="48" t="s">
        <v>14</v>
      </c>
      <c r="D54" s="48" t="s">
        <v>14</v>
      </c>
      <c r="E54" s="48" t="s">
        <v>14</v>
      </c>
      <c r="F54" s="48" t="s">
        <v>14</v>
      </c>
      <c r="G54" s="48" t="s">
        <v>14</v>
      </c>
      <c r="H54" s="48" t="s">
        <v>14</v>
      </c>
      <c r="I54" s="48" t="s">
        <v>14</v>
      </c>
      <c r="J54" s="48" t="s">
        <v>14</v>
      </c>
      <c r="K54" s="48" t="s">
        <v>14</v>
      </c>
      <c r="L54" s="48" t="s">
        <v>14</v>
      </c>
      <c r="M54" s="48" t="s">
        <v>14</v>
      </c>
      <c r="N54" s="48" t="s">
        <v>14</v>
      </c>
      <c r="O54" s="48" t="s">
        <v>14</v>
      </c>
    </row>
    <row r="55" spans="1:19" x14ac:dyDescent="0.25">
      <c r="B55" s="1">
        <v>2020</v>
      </c>
      <c r="C55" s="48">
        <v>13.5</v>
      </c>
      <c r="D55" s="48">
        <v>13.1</v>
      </c>
      <c r="E55" s="48">
        <v>12.9</v>
      </c>
      <c r="F55" s="48">
        <v>9.6</v>
      </c>
      <c r="G55" s="48">
        <v>8.6999999999999993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f t="shared" ref="O55" si="11">SUM(C55:N55)</f>
        <v>57.8</v>
      </c>
    </row>
    <row r="56" spans="1:19" x14ac:dyDescent="0.25">
      <c r="B56" s="1" t="s">
        <v>14</v>
      </c>
      <c r="C56" s="48" t="s">
        <v>14</v>
      </c>
      <c r="D56" s="48" t="s">
        <v>14</v>
      </c>
      <c r="E56" s="48" t="s">
        <v>14</v>
      </c>
      <c r="F56" s="48" t="s">
        <v>14</v>
      </c>
      <c r="G56" s="48" t="s">
        <v>14</v>
      </c>
      <c r="H56" s="48" t="s">
        <v>14</v>
      </c>
      <c r="I56" s="48" t="s">
        <v>14</v>
      </c>
      <c r="J56" s="48" t="s">
        <v>14</v>
      </c>
      <c r="K56" s="48" t="s">
        <v>14</v>
      </c>
      <c r="L56" s="48" t="s">
        <v>14</v>
      </c>
      <c r="M56" s="48" t="s">
        <v>14</v>
      </c>
      <c r="N56" s="48" t="s">
        <v>14</v>
      </c>
      <c r="O56" s="48" t="s">
        <v>14</v>
      </c>
    </row>
    <row r="57" spans="1:19" x14ac:dyDescent="0.25">
      <c r="B57" s="13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1"/>
      <c r="Q57" s="63" t="s">
        <v>138</v>
      </c>
    </row>
    <row r="58" spans="1:19" x14ac:dyDescent="0.25">
      <c r="A58" s="38" t="s">
        <v>45</v>
      </c>
      <c r="B58" s="5" t="s">
        <v>23</v>
      </c>
      <c r="C58" s="50" t="s">
        <v>24</v>
      </c>
      <c r="D58" s="50" t="s">
        <v>25</v>
      </c>
      <c r="E58" s="50" t="s">
        <v>26</v>
      </c>
      <c r="F58" s="50" t="s">
        <v>27</v>
      </c>
      <c r="G58" s="50" t="s">
        <v>28</v>
      </c>
      <c r="H58" s="50" t="s">
        <v>29</v>
      </c>
      <c r="I58" s="50" t="s">
        <v>30</v>
      </c>
      <c r="J58" s="50" t="s">
        <v>31</v>
      </c>
      <c r="K58" s="50" t="s">
        <v>32</v>
      </c>
      <c r="L58" s="50" t="s">
        <v>109</v>
      </c>
      <c r="M58" s="50" t="s">
        <v>110</v>
      </c>
      <c r="N58" s="50" t="s">
        <v>111</v>
      </c>
      <c r="O58" s="50" t="s">
        <v>21</v>
      </c>
      <c r="Q58" s="69" t="s">
        <v>23</v>
      </c>
    </row>
    <row r="59" spans="1:19" x14ac:dyDescent="0.25">
      <c r="B59" s="1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1"/>
    </row>
    <row r="60" spans="1:19" x14ac:dyDescent="0.25">
      <c r="A60" s="26" t="s">
        <v>63</v>
      </c>
      <c r="B60" s="1">
        <v>2017</v>
      </c>
      <c r="C60" s="48">
        <v>15.8</v>
      </c>
      <c r="D60" s="48">
        <v>12.9</v>
      </c>
      <c r="E60" s="48">
        <v>6.4</v>
      </c>
      <c r="F60" s="48">
        <v>2</v>
      </c>
      <c r="G60" s="48">
        <v>1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7.9</v>
      </c>
      <c r="N60" s="48">
        <v>15</v>
      </c>
      <c r="O60" s="48">
        <f>SUM(C60:N60)</f>
        <v>61</v>
      </c>
    </row>
    <row r="61" spans="1:19" x14ac:dyDescent="0.25">
      <c r="B61" s="1">
        <v>2018</v>
      </c>
      <c r="C61" s="48">
        <v>18.100000000000001</v>
      </c>
      <c r="D61" s="48">
        <v>4.7</v>
      </c>
      <c r="E61" s="48">
        <v>10.9</v>
      </c>
      <c r="F61" s="48">
        <v>14.3</v>
      </c>
      <c r="G61" s="48">
        <v>4.4000000000000004</v>
      </c>
      <c r="H61" s="48">
        <v>0</v>
      </c>
      <c r="I61" s="48">
        <v>0</v>
      </c>
      <c r="J61" s="48">
        <v>0</v>
      </c>
      <c r="K61" s="48">
        <v>0</v>
      </c>
      <c r="L61" s="48">
        <v>0.4</v>
      </c>
      <c r="M61" s="48">
        <v>5.2</v>
      </c>
      <c r="N61" s="48">
        <v>0</v>
      </c>
      <c r="O61" s="48">
        <f t="shared" ref="O61:O62" si="12">SUM(C61:N61)</f>
        <v>58</v>
      </c>
      <c r="Q61" s="70">
        <f>SUM(C62:G62)</f>
        <v>55</v>
      </c>
      <c r="S61" s="71" t="s">
        <v>14</v>
      </c>
    </row>
    <row r="62" spans="1:19" x14ac:dyDescent="0.25">
      <c r="B62" s="1">
        <v>2019</v>
      </c>
      <c r="C62" s="48">
        <v>16</v>
      </c>
      <c r="D62" s="48">
        <v>14.8</v>
      </c>
      <c r="E62" s="48">
        <v>13.8</v>
      </c>
      <c r="F62" s="48">
        <v>7.5</v>
      </c>
      <c r="G62" s="48">
        <v>2.9</v>
      </c>
      <c r="H62" s="48">
        <v>0.6</v>
      </c>
      <c r="I62" s="48">
        <v>0.4</v>
      </c>
      <c r="J62" s="48">
        <v>0.4</v>
      </c>
      <c r="K62" s="48">
        <v>0.4</v>
      </c>
      <c r="L62" s="48">
        <v>1.6</v>
      </c>
      <c r="M62" s="48">
        <v>8.6</v>
      </c>
      <c r="N62" s="48">
        <v>13.1</v>
      </c>
      <c r="O62" s="48">
        <f t="shared" si="12"/>
        <v>80.099999999999994</v>
      </c>
    </row>
    <row r="63" spans="1:19" x14ac:dyDescent="0.25">
      <c r="B63" s="1" t="s">
        <v>14</v>
      </c>
      <c r="C63" s="48" t="s">
        <v>14</v>
      </c>
      <c r="D63" s="48" t="s">
        <v>14</v>
      </c>
      <c r="E63" s="48" t="s">
        <v>14</v>
      </c>
      <c r="F63" s="48" t="s">
        <v>14</v>
      </c>
      <c r="G63" s="48" t="s">
        <v>14</v>
      </c>
      <c r="H63" s="48" t="s">
        <v>14</v>
      </c>
      <c r="I63" s="48" t="s">
        <v>14</v>
      </c>
      <c r="J63" s="48" t="s">
        <v>14</v>
      </c>
      <c r="K63" s="48" t="s">
        <v>14</v>
      </c>
      <c r="L63" s="48" t="s">
        <v>14</v>
      </c>
      <c r="M63" s="48" t="s">
        <v>14</v>
      </c>
      <c r="N63" s="48" t="s">
        <v>14</v>
      </c>
      <c r="O63" s="48" t="s">
        <v>14</v>
      </c>
    </row>
    <row r="64" spans="1:19" x14ac:dyDescent="0.25">
      <c r="B64" s="1">
        <v>2020</v>
      </c>
      <c r="C64" s="48">
        <v>14.4</v>
      </c>
      <c r="D64" s="48">
        <v>14.1</v>
      </c>
      <c r="E64" s="48">
        <v>11.5</v>
      </c>
      <c r="F64" s="48">
        <v>7.7</v>
      </c>
      <c r="G64" s="48">
        <v>7.3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f t="shared" ref="O64" si="13">SUM(C64:N64)</f>
        <v>55</v>
      </c>
    </row>
    <row r="65" spans="1:19" x14ac:dyDescent="0.25">
      <c r="B65" s="1" t="s">
        <v>14</v>
      </c>
      <c r="C65" s="48" t="s">
        <v>14</v>
      </c>
      <c r="D65" s="48" t="s">
        <v>14</v>
      </c>
      <c r="E65" s="48" t="s">
        <v>14</v>
      </c>
      <c r="F65" s="48" t="s">
        <v>14</v>
      </c>
      <c r="G65" s="48" t="s">
        <v>14</v>
      </c>
      <c r="H65" s="48" t="s">
        <v>14</v>
      </c>
      <c r="I65" s="48" t="s">
        <v>14</v>
      </c>
      <c r="J65" s="48" t="s">
        <v>14</v>
      </c>
      <c r="K65" s="48" t="s">
        <v>14</v>
      </c>
      <c r="L65" s="48" t="s">
        <v>14</v>
      </c>
      <c r="M65" s="48" t="s">
        <v>14</v>
      </c>
      <c r="N65" s="48" t="s">
        <v>14</v>
      </c>
      <c r="O65" s="48" t="s">
        <v>14</v>
      </c>
    </row>
    <row r="66" spans="1:19" x14ac:dyDescent="0.25">
      <c r="B66" s="13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1"/>
      <c r="Q66" s="63" t="s">
        <v>138</v>
      </c>
    </row>
    <row r="67" spans="1:19" x14ac:dyDescent="0.25">
      <c r="A67" s="38" t="s">
        <v>45</v>
      </c>
      <c r="B67" s="5" t="s">
        <v>23</v>
      </c>
      <c r="C67" s="50" t="s">
        <v>24</v>
      </c>
      <c r="D67" s="50" t="s">
        <v>25</v>
      </c>
      <c r="E67" s="50" t="s">
        <v>26</v>
      </c>
      <c r="F67" s="50" t="s">
        <v>27</v>
      </c>
      <c r="G67" s="50" t="s">
        <v>28</v>
      </c>
      <c r="H67" s="50" t="s">
        <v>29</v>
      </c>
      <c r="I67" s="50" t="s">
        <v>30</v>
      </c>
      <c r="J67" s="50" t="s">
        <v>31</v>
      </c>
      <c r="K67" s="50" t="s">
        <v>32</v>
      </c>
      <c r="L67" s="50" t="s">
        <v>109</v>
      </c>
      <c r="M67" s="50" t="s">
        <v>110</v>
      </c>
      <c r="N67" s="50" t="s">
        <v>111</v>
      </c>
      <c r="O67" s="50" t="s">
        <v>21</v>
      </c>
      <c r="Q67" s="69" t="s">
        <v>23</v>
      </c>
    </row>
    <row r="68" spans="1:19" x14ac:dyDescent="0.25">
      <c r="B68" s="1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1"/>
    </row>
    <row r="69" spans="1:19" x14ac:dyDescent="0.25">
      <c r="A69" s="26" t="s">
        <v>70</v>
      </c>
      <c r="B69" s="1">
        <v>2017</v>
      </c>
      <c r="C69" s="48">
        <v>86</v>
      </c>
      <c r="D69" s="48">
        <v>61.9</v>
      </c>
      <c r="E69" s="48">
        <v>59.1</v>
      </c>
      <c r="F69" s="48">
        <v>17.899999999999999</v>
      </c>
      <c r="G69" s="48">
        <v>8.1</v>
      </c>
      <c r="H69" s="48">
        <v>0.7</v>
      </c>
      <c r="I69" s="48">
        <v>0.8</v>
      </c>
      <c r="J69" s="48">
        <v>0.8</v>
      </c>
      <c r="K69" s="48">
        <v>0.8</v>
      </c>
      <c r="L69" s="48">
        <v>0.8</v>
      </c>
      <c r="M69" s="48">
        <v>0.9</v>
      </c>
      <c r="N69" s="48">
        <v>0.8</v>
      </c>
      <c r="O69" s="48">
        <f>SUM(C69:N69)</f>
        <v>238.60000000000005</v>
      </c>
    </row>
    <row r="70" spans="1:19" x14ac:dyDescent="0.25">
      <c r="B70" s="1">
        <v>2018</v>
      </c>
      <c r="C70" s="48">
        <v>1</v>
      </c>
      <c r="D70" s="48">
        <v>0.8</v>
      </c>
      <c r="E70" s="48">
        <v>0</v>
      </c>
      <c r="F70" s="48">
        <v>0</v>
      </c>
      <c r="G70" s="48">
        <v>3</v>
      </c>
      <c r="H70" s="48">
        <v>-3</v>
      </c>
      <c r="I70" s="48">
        <v>1.2</v>
      </c>
      <c r="J70" s="48">
        <v>0</v>
      </c>
      <c r="K70" s="48">
        <v>0</v>
      </c>
      <c r="L70" s="48">
        <v>0</v>
      </c>
      <c r="M70" s="48">
        <v>0</v>
      </c>
      <c r="N70" s="48">
        <v>0.1</v>
      </c>
      <c r="O70" s="48">
        <f t="shared" ref="O70:O71" si="14">SUM(C70:N70)</f>
        <v>3.1</v>
      </c>
      <c r="Q70" s="70">
        <f>SUM(C71:G71)</f>
        <v>0.1</v>
      </c>
      <c r="S70" s="71" t="s">
        <v>14</v>
      </c>
    </row>
    <row r="71" spans="1:19" x14ac:dyDescent="0.25">
      <c r="B71" s="1">
        <v>2019</v>
      </c>
      <c r="C71" s="48">
        <v>0</v>
      </c>
      <c r="D71" s="48">
        <v>0</v>
      </c>
      <c r="E71" s="48">
        <v>0.1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f t="shared" si="14"/>
        <v>0.1</v>
      </c>
    </row>
    <row r="72" spans="1:19" x14ac:dyDescent="0.25">
      <c r="B72" s="1" t="s">
        <v>14</v>
      </c>
      <c r="C72" s="48" t="s">
        <v>14</v>
      </c>
      <c r="D72" s="48" t="s">
        <v>14</v>
      </c>
      <c r="E72" s="48" t="s">
        <v>14</v>
      </c>
      <c r="F72" s="48" t="s">
        <v>14</v>
      </c>
      <c r="G72" s="48" t="s">
        <v>14</v>
      </c>
      <c r="H72" s="48" t="s">
        <v>14</v>
      </c>
      <c r="I72" s="48" t="s">
        <v>14</v>
      </c>
      <c r="J72" s="48" t="s">
        <v>14</v>
      </c>
      <c r="K72" s="48" t="s">
        <v>14</v>
      </c>
      <c r="L72" s="48" t="s">
        <v>14</v>
      </c>
      <c r="M72" s="48" t="s">
        <v>14</v>
      </c>
      <c r="N72" s="48" t="s">
        <v>14</v>
      </c>
      <c r="O72" s="48" t="s">
        <v>14</v>
      </c>
    </row>
    <row r="73" spans="1:19" x14ac:dyDescent="0.25">
      <c r="B73" s="1">
        <v>2020</v>
      </c>
      <c r="C73" s="48">
        <v>0</v>
      </c>
      <c r="D73" s="48">
        <v>0</v>
      </c>
      <c r="E73" s="48">
        <v>15.5</v>
      </c>
      <c r="F73" s="48">
        <v>12.7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f t="shared" ref="O73" si="15">SUM(C73:N73)</f>
        <v>28.2</v>
      </c>
    </row>
    <row r="74" spans="1:19" x14ac:dyDescent="0.25">
      <c r="B74" s="1" t="s">
        <v>14</v>
      </c>
      <c r="C74" s="48" t="s">
        <v>14</v>
      </c>
      <c r="D74" s="48" t="s">
        <v>14</v>
      </c>
      <c r="E74" s="48" t="s">
        <v>14</v>
      </c>
      <c r="F74" s="48" t="s">
        <v>14</v>
      </c>
      <c r="G74" s="48" t="s">
        <v>14</v>
      </c>
      <c r="H74" s="48" t="s">
        <v>14</v>
      </c>
      <c r="I74" s="48" t="s">
        <v>14</v>
      </c>
      <c r="J74" s="48" t="s">
        <v>14</v>
      </c>
      <c r="K74" s="48" t="s">
        <v>14</v>
      </c>
      <c r="L74" s="48" t="s">
        <v>14</v>
      </c>
      <c r="M74" s="48" t="s">
        <v>14</v>
      </c>
      <c r="N74" s="48" t="s">
        <v>14</v>
      </c>
      <c r="O74" s="48" t="s">
        <v>14</v>
      </c>
    </row>
    <row r="75" spans="1:19" x14ac:dyDescent="0.25">
      <c r="B75" s="13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1"/>
    </row>
    <row r="76" spans="1:19" x14ac:dyDescent="0.25">
      <c r="Q76" s="70" t="s">
        <v>14</v>
      </c>
    </row>
  </sheetData>
  <pageMargins left="0.7" right="0.7" top="0.75" bottom="0.75" header="0.3" footer="0.3"/>
  <pageSetup paperSize="5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7"/>
  <sheetViews>
    <sheetView topLeftCell="A67" workbookViewId="0">
      <selection sqref="A1:A1048576"/>
    </sheetView>
  </sheetViews>
  <sheetFormatPr defaultRowHeight="15" x14ac:dyDescent="0.25"/>
  <cols>
    <col min="1" max="1" width="15.140625" style="25" customWidth="1"/>
    <col min="2" max="2" width="25.42578125" style="26" customWidth="1"/>
    <col min="3" max="3" width="19.5703125" style="62" customWidth="1"/>
    <col min="4" max="4" width="2.7109375" style="26" customWidth="1"/>
    <col min="5" max="5" width="17.42578125" style="55" customWidth="1"/>
    <col min="6" max="6" width="21.85546875" style="34" customWidth="1"/>
  </cols>
  <sheetData>
    <row r="1" spans="1:6" x14ac:dyDescent="0.25">
      <c r="A1" s="9" t="s">
        <v>48</v>
      </c>
      <c r="B1" s="1"/>
      <c r="C1" s="10"/>
      <c r="E1" s="15"/>
      <c r="F1" s="18"/>
    </row>
    <row r="2" spans="1:6" x14ac:dyDescent="0.25">
      <c r="A2" s="9" t="s">
        <v>182</v>
      </c>
      <c r="B2" s="1"/>
      <c r="C2" s="10"/>
      <c r="E2" s="15"/>
      <c r="F2" s="18"/>
    </row>
    <row r="3" spans="1:6" x14ac:dyDescent="0.25">
      <c r="A3" s="1"/>
      <c r="B3" s="1"/>
      <c r="C3" s="10"/>
      <c r="E3" s="15"/>
      <c r="F3" s="18"/>
    </row>
    <row r="4" spans="1:6" x14ac:dyDescent="0.25">
      <c r="A4" s="2"/>
      <c r="B4" s="2"/>
      <c r="C4" s="17"/>
      <c r="E4" s="3" t="s">
        <v>20</v>
      </c>
      <c r="F4" s="36" t="s">
        <v>47</v>
      </c>
    </row>
    <row r="5" spans="1:6" x14ac:dyDescent="0.25">
      <c r="A5" s="5" t="s">
        <v>15</v>
      </c>
      <c r="B5" s="5" t="s">
        <v>19</v>
      </c>
      <c r="C5" s="11" t="s">
        <v>20</v>
      </c>
      <c r="E5" s="6" t="s">
        <v>22</v>
      </c>
      <c r="F5" s="61" t="s">
        <v>130</v>
      </c>
    </row>
    <row r="7" spans="1:6" x14ac:dyDescent="0.25">
      <c r="A7" s="1" t="s">
        <v>24</v>
      </c>
      <c r="B7" s="26" t="s">
        <v>9</v>
      </c>
      <c r="C7" s="62">
        <f>'Water Usage'!C12</f>
        <v>290000</v>
      </c>
      <c r="E7" s="55">
        <v>2617.6999999999998</v>
      </c>
      <c r="F7" s="34">
        <f>E7/C7</f>
        <v>9.0265517241379309E-3</v>
      </c>
    </row>
    <row r="8" spans="1:6" x14ac:dyDescent="0.25">
      <c r="A8" s="1" t="s">
        <v>25</v>
      </c>
      <c r="B8" s="26" t="s">
        <v>9</v>
      </c>
      <c r="C8" s="62">
        <f>'Water Usage'!D12</f>
        <v>239000</v>
      </c>
      <c r="E8" s="55">
        <v>2180.63</v>
      </c>
      <c r="F8" s="34">
        <f t="shared" ref="F8:F18" si="0">E8/C8</f>
        <v>9.1239748953974905E-3</v>
      </c>
    </row>
    <row r="9" spans="1:6" x14ac:dyDescent="0.25">
      <c r="A9" s="1" t="s">
        <v>26</v>
      </c>
      <c r="B9" s="26" t="s">
        <v>9</v>
      </c>
      <c r="C9" s="62">
        <f>'Water Usage'!E12</f>
        <v>256000</v>
      </c>
      <c r="E9" s="55">
        <v>2326.3200000000002</v>
      </c>
      <c r="F9" s="34">
        <f t="shared" si="0"/>
        <v>9.0871874999999998E-3</v>
      </c>
    </row>
    <row r="10" spans="1:6" x14ac:dyDescent="0.25">
      <c r="A10" s="1" t="s">
        <v>41</v>
      </c>
      <c r="B10" s="26" t="s">
        <v>9</v>
      </c>
      <c r="C10" s="62">
        <f>'Water Usage'!F12</f>
        <v>146000</v>
      </c>
      <c r="E10" s="55">
        <v>1383.62</v>
      </c>
      <c r="F10" s="34">
        <f t="shared" si="0"/>
        <v>9.4768493150684929E-3</v>
      </c>
    </row>
    <row r="11" spans="1:6" x14ac:dyDescent="0.25">
      <c r="A11" s="1" t="s">
        <v>28</v>
      </c>
      <c r="B11" s="26" t="s">
        <v>9</v>
      </c>
      <c r="C11" s="62">
        <f>'Water Usage'!G12</f>
        <v>51000</v>
      </c>
      <c r="E11" s="55">
        <v>523.41</v>
      </c>
      <c r="F11" s="34">
        <f t="shared" si="0"/>
        <v>1.0262941176470588E-2</v>
      </c>
    </row>
    <row r="12" spans="1:6" x14ac:dyDescent="0.25">
      <c r="A12" s="1" t="s">
        <v>29</v>
      </c>
      <c r="B12" s="26" t="s">
        <v>9</v>
      </c>
      <c r="C12" s="62">
        <f>'Water Usage'!H12</f>
        <v>352000</v>
      </c>
      <c r="E12" s="55">
        <v>3149.04</v>
      </c>
      <c r="F12" s="34">
        <f t="shared" si="0"/>
        <v>8.9461363636363627E-3</v>
      </c>
    </row>
    <row r="13" spans="1:6" x14ac:dyDescent="0.25">
      <c r="A13" s="1" t="s">
        <v>30</v>
      </c>
      <c r="B13" s="26" t="s">
        <v>9</v>
      </c>
      <c r="C13" s="62">
        <f>'Water Usage'!I12</f>
        <v>500000</v>
      </c>
      <c r="E13" s="55">
        <v>0</v>
      </c>
      <c r="F13" s="34">
        <f t="shared" si="0"/>
        <v>0</v>
      </c>
    </row>
    <row r="14" spans="1:6" x14ac:dyDescent="0.25">
      <c r="A14" s="1" t="s">
        <v>31</v>
      </c>
      <c r="B14" s="26" t="s">
        <v>9</v>
      </c>
      <c r="C14" s="62">
        <f>'Water Usage'!J12</f>
        <v>0</v>
      </c>
      <c r="E14" s="55">
        <v>0</v>
      </c>
      <c r="F14" s="34" t="e">
        <f t="shared" si="0"/>
        <v>#DIV/0!</v>
      </c>
    </row>
    <row r="15" spans="1:6" x14ac:dyDescent="0.25">
      <c r="A15" s="1" t="s">
        <v>42</v>
      </c>
      <c r="B15" s="26" t="s">
        <v>9</v>
      </c>
      <c r="C15" s="62">
        <f>'Water Usage'!K12</f>
        <v>0</v>
      </c>
      <c r="E15" s="55">
        <v>0</v>
      </c>
      <c r="F15" s="34" t="e">
        <f t="shared" si="0"/>
        <v>#DIV/0!</v>
      </c>
    </row>
    <row r="16" spans="1:6" x14ac:dyDescent="0.25">
      <c r="A16" s="1" t="s">
        <v>33</v>
      </c>
      <c r="B16" s="26" t="s">
        <v>9</v>
      </c>
      <c r="C16" s="62">
        <f>'Water Usage'!L12</f>
        <v>0</v>
      </c>
      <c r="E16" s="55">
        <v>0</v>
      </c>
      <c r="F16" s="34" t="e">
        <f t="shared" si="0"/>
        <v>#DIV/0!</v>
      </c>
    </row>
    <row r="17" spans="1:6" x14ac:dyDescent="0.25">
      <c r="A17" s="1" t="s">
        <v>34</v>
      </c>
      <c r="B17" s="26" t="s">
        <v>9</v>
      </c>
      <c r="C17" s="62">
        <f>'Water Usage'!M12</f>
        <v>0</v>
      </c>
      <c r="E17" s="55">
        <v>0</v>
      </c>
      <c r="F17" s="34" t="e">
        <f t="shared" si="0"/>
        <v>#DIV/0!</v>
      </c>
    </row>
    <row r="18" spans="1:6" x14ac:dyDescent="0.25">
      <c r="A18" s="1" t="s">
        <v>35</v>
      </c>
      <c r="B18" s="26" t="s">
        <v>9</v>
      </c>
      <c r="C18" s="62">
        <f>'Water Usage'!N12</f>
        <v>0</v>
      </c>
      <c r="E18" s="55">
        <v>0</v>
      </c>
      <c r="F18" s="34" t="e">
        <f t="shared" si="0"/>
        <v>#DIV/0!</v>
      </c>
    </row>
    <row r="20" spans="1:6" x14ac:dyDescent="0.25">
      <c r="B20" s="37" t="s">
        <v>21</v>
      </c>
      <c r="C20" s="67">
        <f>SUM(C7:C18)</f>
        <v>1834000</v>
      </c>
      <c r="D20" s="37"/>
      <c r="E20" s="57">
        <f>SUM(E7:E18)</f>
        <v>12180.720000000001</v>
      </c>
      <c r="F20" s="36">
        <f>E20/C20</f>
        <v>6.6416139585605237E-3</v>
      </c>
    </row>
    <row r="22" spans="1:6" x14ac:dyDescent="0.25">
      <c r="A22" s="2"/>
      <c r="B22" s="2"/>
      <c r="C22" s="17"/>
      <c r="E22" s="3" t="s">
        <v>20</v>
      </c>
      <c r="F22" s="36" t="s">
        <v>47</v>
      </c>
    </row>
    <row r="23" spans="1:6" x14ac:dyDescent="0.25">
      <c r="A23" s="5" t="s">
        <v>15</v>
      </c>
      <c r="B23" s="5" t="s">
        <v>19</v>
      </c>
      <c r="C23" s="11" t="s">
        <v>20</v>
      </c>
      <c r="E23" s="6" t="s">
        <v>22</v>
      </c>
      <c r="F23" s="61" t="s">
        <v>130</v>
      </c>
    </row>
    <row r="25" spans="1:6" x14ac:dyDescent="0.25">
      <c r="A25" s="1" t="s">
        <v>24</v>
      </c>
      <c r="B25" s="26" t="s">
        <v>61</v>
      </c>
      <c r="C25" s="62">
        <f>'Water Usage'!C21</f>
        <v>13000</v>
      </c>
      <c r="E25" s="55">
        <v>513.9</v>
      </c>
      <c r="F25" s="34">
        <f>E25/C25</f>
        <v>3.953076923076923E-2</v>
      </c>
    </row>
    <row r="26" spans="1:6" x14ac:dyDescent="0.25">
      <c r="A26" s="1" t="s">
        <v>25</v>
      </c>
      <c r="B26" s="26" t="s">
        <v>61</v>
      </c>
      <c r="C26" s="62">
        <f>'Water Usage'!D21</f>
        <v>12000</v>
      </c>
      <c r="E26" s="55">
        <v>513.9</v>
      </c>
      <c r="F26" s="34">
        <f t="shared" ref="F26:F36" si="1">E26/C26</f>
        <v>4.2824999999999995E-2</v>
      </c>
    </row>
    <row r="27" spans="1:6" x14ac:dyDescent="0.25">
      <c r="A27" s="1" t="s">
        <v>26</v>
      </c>
      <c r="B27" s="26" t="s">
        <v>61</v>
      </c>
      <c r="C27" s="62">
        <f>'Water Usage'!E21</f>
        <v>8000</v>
      </c>
      <c r="E27" s="55">
        <v>513.9</v>
      </c>
      <c r="F27" s="34">
        <f t="shared" si="1"/>
        <v>6.4237500000000003E-2</v>
      </c>
    </row>
    <row r="28" spans="1:6" x14ac:dyDescent="0.25">
      <c r="A28" s="1" t="s">
        <v>41</v>
      </c>
      <c r="B28" s="26" t="s">
        <v>61</v>
      </c>
      <c r="C28" s="62">
        <f>'Water Usage'!F21</f>
        <v>5000</v>
      </c>
      <c r="E28" s="55">
        <v>513.9</v>
      </c>
      <c r="F28" s="34">
        <f t="shared" si="1"/>
        <v>0.10278</v>
      </c>
    </row>
    <row r="29" spans="1:6" x14ac:dyDescent="0.25">
      <c r="A29" s="1" t="s">
        <v>28</v>
      </c>
      <c r="B29" s="26" t="s">
        <v>61</v>
      </c>
      <c r="C29" s="62">
        <f>'Water Usage'!G21</f>
        <v>13000</v>
      </c>
      <c r="E29" s="55">
        <v>513.9</v>
      </c>
      <c r="F29" s="34">
        <f t="shared" si="1"/>
        <v>3.953076923076923E-2</v>
      </c>
    </row>
    <row r="30" spans="1:6" x14ac:dyDescent="0.25">
      <c r="A30" s="1" t="s">
        <v>29</v>
      </c>
      <c r="B30" s="26" t="s">
        <v>61</v>
      </c>
      <c r="C30" s="62">
        <f>'Water Usage'!H21</f>
        <v>6000</v>
      </c>
      <c r="E30" s="55">
        <v>513.9</v>
      </c>
      <c r="F30" s="34">
        <f t="shared" si="1"/>
        <v>8.564999999999999E-2</v>
      </c>
    </row>
    <row r="31" spans="1:6" x14ac:dyDescent="0.25">
      <c r="A31" s="1" t="s">
        <v>30</v>
      </c>
      <c r="B31" s="26" t="s">
        <v>61</v>
      </c>
      <c r="C31" s="62">
        <f>'Water Usage'!I21</f>
        <v>9000</v>
      </c>
      <c r="E31" s="55">
        <v>0</v>
      </c>
      <c r="F31" s="34">
        <f t="shared" si="1"/>
        <v>0</v>
      </c>
    </row>
    <row r="32" spans="1:6" x14ac:dyDescent="0.25">
      <c r="A32" s="1" t="s">
        <v>31</v>
      </c>
      <c r="B32" s="26" t="s">
        <v>61</v>
      </c>
      <c r="C32" s="62">
        <f>'Water Usage'!J21</f>
        <v>0</v>
      </c>
      <c r="E32" s="55">
        <v>0</v>
      </c>
      <c r="F32" s="34" t="e">
        <f t="shared" si="1"/>
        <v>#DIV/0!</v>
      </c>
    </row>
    <row r="33" spans="1:6" x14ac:dyDescent="0.25">
      <c r="A33" s="1" t="s">
        <v>42</v>
      </c>
      <c r="B33" s="26" t="s">
        <v>61</v>
      </c>
      <c r="C33" s="62">
        <f>'Water Usage'!K21</f>
        <v>0</v>
      </c>
      <c r="E33" s="55">
        <v>0</v>
      </c>
      <c r="F33" s="34" t="e">
        <f t="shared" si="1"/>
        <v>#DIV/0!</v>
      </c>
    </row>
    <row r="34" spans="1:6" x14ac:dyDescent="0.25">
      <c r="A34" s="1" t="s">
        <v>33</v>
      </c>
      <c r="B34" s="26" t="s">
        <v>61</v>
      </c>
      <c r="C34" s="62">
        <f>'Water Usage'!L21</f>
        <v>0</v>
      </c>
      <c r="E34" s="55">
        <v>0</v>
      </c>
      <c r="F34" s="34" t="e">
        <f t="shared" si="1"/>
        <v>#DIV/0!</v>
      </c>
    </row>
    <row r="35" spans="1:6" x14ac:dyDescent="0.25">
      <c r="A35" s="1" t="s">
        <v>34</v>
      </c>
      <c r="B35" s="26" t="s">
        <v>61</v>
      </c>
      <c r="C35" s="62">
        <f>'Water Usage'!M21</f>
        <v>0</v>
      </c>
      <c r="E35" s="55">
        <v>0</v>
      </c>
      <c r="F35" s="34" t="e">
        <f t="shared" si="1"/>
        <v>#DIV/0!</v>
      </c>
    </row>
    <row r="36" spans="1:6" x14ac:dyDescent="0.25">
      <c r="A36" s="1" t="s">
        <v>35</v>
      </c>
      <c r="B36" s="26" t="s">
        <v>61</v>
      </c>
      <c r="C36" s="62">
        <f>'Water Usage'!N21</f>
        <v>0</v>
      </c>
      <c r="E36" s="55">
        <v>0</v>
      </c>
      <c r="F36" s="34" t="e">
        <f t="shared" si="1"/>
        <v>#DIV/0!</v>
      </c>
    </row>
    <row r="38" spans="1:6" x14ac:dyDescent="0.25">
      <c r="B38" s="37" t="s">
        <v>21</v>
      </c>
      <c r="C38" s="67">
        <f>SUM(C25:C36)</f>
        <v>66000</v>
      </c>
      <c r="D38" s="37"/>
      <c r="E38" s="57">
        <f>SUM(E25:E36)</f>
        <v>3083.4</v>
      </c>
      <c r="F38" s="36">
        <f>E38/C38</f>
        <v>4.6718181818181818E-2</v>
      </c>
    </row>
    <row r="40" spans="1:6" x14ac:dyDescent="0.25">
      <c r="A40" s="2"/>
      <c r="B40" s="2"/>
      <c r="C40" s="17"/>
      <c r="E40" s="3" t="s">
        <v>20</v>
      </c>
      <c r="F40" s="36" t="s">
        <v>47</v>
      </c>
    </row>
    <row r="41" spans="1:6" x14ac:dyDescent="0.25">
      <c r="A41" s="5" t="s">
        <v>15</v>
      </c>
      <c r="B41" s="5" t="s">
        <v>19</v>
      </c>
      <c r="C41" s="11" t="s">
        <v>20</v>
      </c>
      <c r="E41" s="6" t="s">
        <v>22</v>
      </c>
      <c r="F41" s="61" t="s">
        <v>130</v>
      </c>
    </row>
    <row r="43" spans="1:6" x14ac:dyDescent="0.25">
      <c r="A43" s="1" t="s">
        <v>24</v>
      </c>
      <c r="B43" s="26" t="s">
        <v>113</v>
      </c>
      <c r="C43" s="62">
        <f>'Water Usage'!C30</f>
        <v>2000</v>
      </c>
      <c r="E43" s="55">
        <v>261.75</v>
      </c>
      <c r="F43" s="34">
        <f>E43/C43</f>
        <v>0.13087499999999999</v>
      </c>
    </row>
    <row r="44" spans="1:6" x14ac:dyDescent="0.25">
      <c r="A44" s="1" t="s">
        <v>25</v>
      </c>
      <c r="B44" s="26" t="s">
        <v>113</v>
      </c>
      <c r="C44" s="62">
        <f>'Water Usage'!D30</f>
        <v>7000</v>
      </c>
      <c r="E44" s="55">
        <v>261.75</v>
      </c>
      <c r="F44" s="34">
        <f t="shared" ref="F44:F54" si="2">E44/C44</f>
        <v>3.7392857142857144E-2</v>
      </c>
    </row>
    <row r="45" spans="1:6" x14ac:dyDescent="0.25">
      <c r="A45" s="1" t="s">
        <v>26</v>
      </c>
      <c r="B45" s="26" t="s">
        <v>113</v>
      </c>
      <c r="C45" s="62">
        <f>'Water Usage'!E30</f>
        <v>6000</v>
      </c>
      <c r="E45" s="55">
        <v>261.75</v>
      </c>
      <c r="F45" s="34">
        <f t="shared" si="2"/>
        <v>4.3624999999999997E-2</v>
      </c>
    </row>
    <row r="46" spans="1:6" x14ac:dyDescent="0.25">
      <c r="A46" s="1" t="s">
        <v>41</v>
      </c>
      <c r="B46" s="26" t="s">
        <v>113</v>
      </c>
      <c r="C46" s="62">
        <f>'Water Usage'!F30</f>
        <v>2000</v>
      </c>
      <c r="E46" s="55">
        <v>261.75</v>
      </c>
      <c r="F46" s="34">
        <f t="shared" si="2"/>
        <v>0.13087499999999999</v>
      </c>
    </row>
    <row r="47" spans="1:6" x14ac:dyDescent="0.25">
      <c r="A47" s="1" t="s">
        <v>28</v>
      </c>
      <c r="B47" s="26" t="s">
        <v>113</v>
      </c>
      <c r="C47" s="62">
        <f>'Water Usage'!G30</f>
        <v>1000</v>
      </c>
      <c r="E47" s="55">
        <v>261.75</v>
      </c>
      <c r="F47" s="34">
        <f t="shared" si="2"/>
        <v>0.26174999999999998</v>
      </c>
    </row>
    <row r="48" spans="1:6" x14ac:dyDescent="0.25">
      <c r="A48" s="1" t="s">
        <v>29</v>
      </c>
      <c r="B48" s="26" t="s">
        <v>113</v>
      </c>
      <c r="C48" s="62">
        <f>'Water Usage'!H30</f>
        <v>3000</v>
      </c>
      <c r="E48" s="55">
        <v>261.75</v>
      </c>
      <c r="F48" s="34">
        <f t="shared" si="2"/>
        <v>8.7249999999999994E-2</v>
      </c>
    </row>
    <row r="49" spans="1:6" x14ac:dyDescent="0.25">
      <c r="A49" s="1" t="s">
        <v>30</v>
      </c>
      <c r="B49" s="26" t="s">
        <v>113</v>
      </c>
      <c r="C49" s="62">
        <f>'Water Usage'!I30</f>
        <v>1000</v>
      </c>
      <c r="E49" s="55">
        <v>0</v>
      </c>
      <c r="F49" s="34">
        <f t="shared" si="2"/>
        <v>0</v>
      </c>
    </row>
    <row r="50" spans="1:6" x14ac:dyDescent="0.25">
      <c r="A50" s="1" t="s">
        <v>31</v>
      </c>
      <c r="B50" s="26" t="s">
        <v>113</v>
      </c>
      <c r="C50" s="62">
        <f>'Water Usage'!J30</f>
        <v>0</v>
      </c>
      <c r="E50" s="55">
        <v>0</v>
      </c>
      <c r="F50" s="34" t="e">
        <f t="shared" si="2"/>
        <v>#DIV/0!</v>
      </c>
    </row>
    <row r="51" spans="1:6" x14ac:dyDescent="0.25">
      <c r="A51" s="1" t="s">
        <v>42</v>
      </c>
      <c r="B51" s="26" t="s">
        <v>113</v>
      </c>
      <c r="C51" s="62">
        <f>'Water Usage'!K30</f>
        <v>0</v>
      </c>
      <c r="E51" s="55">
        <v>0</v>
      </c>
      <c r="F51" s="34" t="e">
        <f t="shared" si="2"/>
        <v>#DIV/0!</v>
      </c>
    </row>
    <row r="52" spans="1:6" x14ac:dyDescent="0.25">
      <c r="A52" s="1" t="s">
        <v>33</v>
      </c>
      <c r="B52" s="26" t="s">
        <v>113</v>
      </c>
      <c r="C52" s="62">
        <f>'Water Usage'!L30</f>
        <v>0</v>
      </c>
      <c r="E52" s="55">
        <v>0</v>
      </c>
      <c r="F52" s="34" t="e">
        <f t="shared" si="2"/>
        <v>#DIV/0!</v>
      </c>
    </row>
    <row r="53" spans="1:6" x14ac:dyDescent="0.25">
      <c r="A53" s="1" t="s">
        <v>34</v>
      </c>
      <c r="B53" s="26" t="s">
        <v>113</v>
      </c>
      <c r="C53" s="62">
        <f>'Water Usage'!M30</f>
        <v>0</v>
      </c>
      <c r="E53" s="55">
        <v>0</v>
      </c>
      <c r="F53" s="34" t="e">
        <f t="shared" si="2"/>
        <v>#DIV/0!</v>
      </c>
    </row>
    <row r="54" spans="1:6" x14ac:dyDescent="0.25">
      <c r="A54" s="1" t="s">
        <v>35</v>
      </c>
      <c r="B54" s="26" t="s">
        <v>113</v>
      </c>
      <c r="C54" s="62">
        <f>'Water Usage'!N30</f>
        <v>0</v>
      </c>
      <c r="E54" s="55">
        <v>0</v>
      </c>
      <c r="F54" s="34" t="e">
        <f t="shared" si="2"/>
        <v>#DIV/0!</v>
      </c>
    </row>
    <row r="56" spans="1:6" x14ac:dyDescent="0.25">
      <c r="B56" s="37" t="s">
        <v>21</v>
      </c>
      <c r="C56" s="67">
        <f>SUM(C43:C54)</f>
        <v>22000</v>
      </c>
      <c r="D56" s="37"/>
      <c r="E56" s="57">
        <f>SUM(E43:E54)</f>
        <v>1570.5</v>
      </c>
      <c r="F56" s="36">
        <f>E56/C56</f>
        <v>7.1386363636363637E-2</v>
      </c>
    </row>
    <row r="58" spans="1:6" x14ac:dyDescent="0.25">
      <c r="A58" s="2"/>
      <c r="B58" s="2"/>
      <c r="C58" s="17"/>
      <c r="E58" s="3" t="s">
        <v>20</v>
      </c>
      <c r="F58" s="36" t="s">
        <v>47</v>
      </c>
    </row>
    <row r="59" spans="1:6" x14ac:dyDescent="0.25">
      <c r="A59" s="5" t="s">
        <v>15</v>
      </c>
      <c r="B59" s="5" t="s">
        <v>19</v>
      </c>
      <c r="C59" s="11" t="s">
        <v>20</v>
      </c>
      <c r="E59" s="6" t="s">
        <v>22</v>
      </c>
      <c r="F59" s="61" t="s">
        <v>130</v>
      </c>
    </row>
    <row r="61" spans="1:6" x14ac:dyDescent="0.25">
      <c r="A61" s="1" t="s">
        <v>24</v>
      </c>
      <c r="B61" s="26" t="s">
        <v>112</v>
      </c>
      <c r="C61" s="62">
        <f>'Water Usage'!C39</f>
        <v>1000</v>
      </c>
      <c r="E61" s="55">
        <v>177.99</v>
      </c>
      <c r="F61" s="34">
        <f>E61/C61</f>
        <v>0.17799000000000001</v>
      </c>
    </row>
    <row r="62" spans="1:6" x14ac:dyDescent="0.25">
      <c r="A62" s="1" t="s">
        <v>25</v>
      </c>
      <c r="B62" s="26" t="s">
        <v>112</v>
      </c>
      <c r="C62" s="62">
        <f>'Water Usage'!D39</f>
        <v>1000</v>
      </c>
      <c r="E62" s="55">
        <v>177.99</v>
      </c>
      <c r="F62" s="34">
        <f t="shared" ref="F62:F72" si="3">E62/C62</f>
        <v>0.17799000000000001</v>
      </c>
    </row>
    <row r="63" spans="1:6" x14ac:dyDescent="0.25">
      <c r="A63" s="1" t="s">
        <v>26</v>
      </c>
      <c r="B63" s="26" t="s">
        <v>112</v>
      </c>
      <c r="C63" s="62">
        <f>'Water Usage'!E39</f>
        <v>68000</v>
      </c>
      <c r="E63" s="55">
        <v>685.08</v>
      </c>
      <c r="F63" s="34">
        <f t="shared" si="3"/>
        <v>1.0074705882352942E-2</v>
      </c>
    </row>
    <row r="64" spans="1:6" x14ac:dyDescent="0.25">
      <c r="A64" s="1" t="s">
        <v>41</v>
      </c>
      <c r="B64" s="26" t="s">
        <v>112</v>
      </c>
      <c r="C64" s="62">
        <f>'Water Usage'!F39</f>
        <v>0</v>
      </c>
      <c r="E64" s="55">
        <v>177.99</v>
      </c>
      <c r="F64" s="34" t="e">
        <f t="shared" si="3"/>
        <v>#DIV/0!</v>
      </c>
    </row>
    <row r="65" spans="1:6" x14ac:dyDescent="0.25">
      <c r="A65" s="1" t="s">
        <v>28</v>
      </c>
      <c r="B65" s="26" t="s">
        <v>112</v>
      </c>
      <c r="C65" s="62">
        <f>'Water Usage'!G39</f>
        <v>1000</v>
      </c>
      <c r="E65" s="55">
        <v>177.99</v>
      </c>
      <c r="F65" s="34">
        <f t="shared" si="3"/>
        <v>0.17799000000000001</v>
      </c>
    </row>
    <row r="66" spans="1:6" x14ac:dyDescent="0.25">
      <c r="A66" s="1" t="s">
        <v>29</v>
      </c>
      <c r="B66" s="26" t="s">
        <v>112</v>
      </c>
      <c r="C66" s="62">
        <f>'Water Usage'!H39</f>
        <v>1000</v>
      </c>
      <c r="E66" s="55">
        <v>177.99</v>
      </c>
      <c r="F66" s="34">
        <f t="shared" si="3"/>
        <v>0.17799000000000001</v>
      </c>
    </row>
    <row r="67" spans="1:6" x14ac:dyDescent="0.25">
      <c r="A67" s="1" t="s">
        <v>30</v>
      </c>
      <c r="B67" s="26" t="s">
        <v>112</v>
      </c>
      <c r="C67" s="62">
        <f>'Water Usage'!I39</f>
        <v>46000</v>
      </c>
      <c r="E67" s="55">
        <v>0</v>
      </c>
      <c r="F67" s="34">
        <f t="shared" si="3"/>
        <v>0</v>
      </c>
    </row>
    <row r="68" spans="1:6" x14ac:dyDescent="0.25">
      <c r="A68" s="1" t="s">
        <v>31</v>
      </c>
      <c r="B68" s="26" t="s">
        <v>112</v>
      </c>
      <c r="C68" s="62">
        <f>'Water Usage'!J39</f>
        <v>0</v>
      </c>
      <c r="E68" s="55">
        <v>0</v>
      </c>
      <c r="F68" s="34" t="e">
        <f t="shared" si="3"/>
        <v>#DIV/0!</v>
      </c>
    </row>
    <row r="69" spans="1:6" x14ac:dyDescent="0.25">
      <c r="A69" s="1" t="s">
        <v>42</v>
      </c>
      <c r="B69" s="26" t="s">
        <v>112</v>
      </c>
      <c r="C69" s="62">
        <f>'Water Usage'!K39</f>
        <v>0</v>
      </c>
      <c r="E69" s="55">
        <v>0</v>
      </c>
      <c r="F69" s="34" t="e">
        <f t="shared" si="3"/>
        <v>#DIV/0!</v>
      </c>
    </row>
    <row r="70" spans="1:6" x14ac:dyDescent="0.25">
      <c r="A70" s="1" t="s">
        <v>33</v>
      </c>
      <c r="B70" s="26" t="s">
        <v>112</v>
      </c>
      <c r="C70" s="62">
        <f>'Water Usage'!L39</f>
        <v>0</v>
      </c>
      <c r="E70" s="55">
        <v>0</v>
      </c>
      <c r="F70" s="34" t="e">
        <f t="shared" si="3"/>
        <v>#DIV/0!</v>
      </c>
    </row>
    <row r="71" spans="1:6" x14ac:dyDescent="0.25">
      <c r="A71" s="1" t="s">
        <v>34</v>
      </c>
      <c r="B71" s="26" t="s">
        <v>112</v>
      </c>
      <c r="C71" s="62">
        <f>'Water Usage'!M39</f>
        <v>0</v>
      </c>
      <c r="E71" s="55">
        <v>0</v>
      </c>
      <c r="F71" s="34" t="e">
        <f t="shared" si="3"/>
        <v>#DIV/0!</v>
      </c>
    </row>
    <row r="72" spans="1:6" x14ac:dyDescent="0.25">
      <c r="A72" s="1" t="s">
        <v>35</v>
      </c>
      <c r="B72" s="26" t="s">
        <v>112</v>
      </c>
      <c r="C72" s="62">
        <f>'Water Usage'!N39</f>
        <v>0</v>
      </c>
      <c r="E72" s="55">
        <v>0</v>
      </c>
      <c r="F72" s="34" t="e">
        <f t="shared" si="3"/>
        <v>#DIV/0!</v>
      </c>
    </row>
    <row r="74" spans="1:6" x14ac:dyDescent="0.25">
      <c r="B74" s="37" t="s">
        <v>21</v>
      </c>
      <c r="C74" s="67">
        <f>SUM(C61:C72)</f>
        <v>118000</v>
      </c>
      <c r="D74" s="37"/>
      <c r="E74" s="57">
        <f>SUM(E61:E72)</f>
        <v>1575.03</v>
      </c>
      <c r="F74" s="36">
        <f>E74/C74</f>
        <v>1.3347711864406779E-2</v>
      </c>
    </row>
    <row r="76" spans="1:6" x14ac:dyDescent="0.25">
      <c r="A76" s="2"/>
      <c r="B76" s="2"/>
      <c r="C76" s="17"/>
      <c r="E76" s="3" t="s">
        <v>20</v>
      </c>
      <c r="F76" s="36" t="s">
        <v>47</v>
      </c>
    </row>
    <row r="77" spans="1:6" x14ac:dyDescent="0.25">
      <c r="A77" s="5" t="s">
        <v>15</v>
      </c>
      <c r="B77" s="5" t="s">
        <v>19</v>
      </c>
      <c r="C77" s="11" t="s">
        <v>20</v>
      </c>
      <c r="E77" s="6" t="s">
        <v>22</v>
      </c>
      <c r="F77" s="61" t="s">
        <v>130</v>
      </c>
    </row>
    <row r="79" spans="1:6" x14ac:dyDescent="0.25">
      <c r="A79" s="1" t="s">
        <v>24</v>
      </c>
      <c r="B79" s="26" t="s">
        <v>63</v>
      </c>
      <c r="C79" s="62">
        <f>'Water Usage'!C48</f>
        <v>1000</v>
      </c>
      <c r="E79" s="55">
        <v>31.41</v>
      </c>
      <c r="F79" s="34">
        <f>E79/C79</f>
        <v>3.141E-2</v>
      </c>
    </row>
    <row r="80" spans="1:6" x14ac:dyDescent="0.25">
      <c r="A80" s="1" t="s">
        <v>25</v>
      </c>
      <c r="B80" s="26" t="s">
        <v>63</v>
      </c>
      <c r="C80" s="62">
        <f>'Water Usage'!D48</f>
        <v>1000</v>
      </c>
      <c r="E80" s="55">
        <v>31.41</v>
      </c>
      <c r="F80" s="34">
        <f t="shared" ref="F80:F90" si="4">E80/C80</f>
        <v>3.141E-2</v>
      </c>
    </row>
    <row r="81" spans="1:6" x14ac:dyDescent="0.25">
      <c r="A81" s="1" t="s">
        <v>26</v>
      </c>
      <c r="B81" s="26" t="s">
        <v>63</v>
      </c>
      <c r="C81" s="62">
        <f>'Water Usage'!E48</f>
        <v>0</v>
      </c>
      <c r="E81" s="55">
        <v>31.41</v>
      </c>
      <c r="F81" s="34" t="e">
        <f t="shared" si="4"/>
        <v>#DIV/0!</v>
      </c>
    </row>
    <row r="82" spans="1:6" x14ac:dyDescent="0.25">
      <c r="A82" s="1" t="s">
        <v>41</v>
      </c>
      <c r="B82" s="26" t="s">
        <v>63</v>
      </c>
      <c r="C82" s="62">
        <f>'Water Usage'!F48</f>
        <v>0</v>
      </c>
      <c r="E82" s="55">
        <v>31.41</v>
      </c>
      <c r="F82" s="34" t="e">
        <f t="shared" si="4"/>
        <v>#DIV/0!</v>
      </c>
    </row>
    <row r="83" spans="1:6" x14ac:dyDescent="0.25">
      <c r="A83" s="1" t="s">
        <v>28</v>
      </c>
      <c r="B83" s="26" t="s">
        <v>63</v>
      </c>
      <c r="C83" s="62">
        <f>'Water Usage'!G48</f>
        <v>2000</v>
      </c>
      <c r="E83" s="55">
        <v>31.41</v>
      </c>
      <c r="F83" s="34">
        <f t="shared" si="4"/>
        <v>1.5705E-2</v>
      </c>
    </row>
    <row r="84" spans="1:6" x14ac:dyDescent="0.25">
      <c r="A84" s="1" t="s">
        <v>29</v>
      </c>
      <c r="B84" s="26" t="s">
        <v>63</v>
      </c>
      <c r="C84" s="62">
        <f>'Water Usage'!H48</f>
        <v>0</v>
      </c>
      <c r="E84" s="55">
        <v>31.41</v>
      </c>
      <c r="F84" s="34" t="e">
        <f t="shared" si="4"/>
        <v>#DIV/0!</v>
      </c>
    </row>
    <row r="85" spans="1:6" x14ac:dyDescent="0.25">
      <c r="A85" s="1" t="s">
        <v>30</v>
      </c>
      <c r="B85" s="26" t="s">
        <v>63</v>
      </c>
      <c r="C85" s="62">
        <f>'Water Usage'!I48</f>
        <v>78000</v>
      </c>
      <c r="E85" s="55">
        <v>0</v>
      </c>
      <c r="F85" s="34">
        <f t="shared" si="4"/>
        <v>0</v>
      </c>
    </row>
    <row r="86" spans="1:6" x14ac:dyDescent="0.25">
      <c r="A86" s="1" t="s">
        <v>31</v>
      </c>
      <c r="B86" s="26" t="s">
        <v>63</v>
      </c>
      <c r="C86" s="62">
        <f>'Water Usage'!J48</f>
        <v>0</v>
      </c>
      <c r="E86" s="55">
        <v>0</v>
      </c>
      <c r="F86" s="34" t="e">
        <f t="shared" si="4"/>
        <v>#DIV/0!</v>
      </c>
    </row>
    <row r="87" spans="1:6" x14ac:dyDescent="0.25">
      <c r="A87" s="1" t="s">
        <v>42</v>
      </c>
      <c r="B87" s="26" t="s">
        <v>63</v>
      </c>
      <c r="C87" s="62">
        <f>'Water Usage'!K48</f>
        <v>0</v>
      </c>
      <c r="E87" s="55">
        <v>0</v>
      </c>
      <c r="F87" s="34" t="e">
        <f t="shared" si="4"/>
        <v>#DIV/0!</v>
      </c>
    </row>
    <row r="88" spans="1:6" x14ac:dyDescent="0.25">
      <c r="A88" s="1" t="s">
        <v>33</v>
      </c>
      <c r="B88" s="26" t="s">
        <v>63</v>
      </c>
      <c r="C88" s="62">
        <f>'Water Usage'!L48</f>
        <v>0</v>
      </c>
      <c r="E88" s="55">
        <v>0</v>
      </c>
      <c r="F88" s="34" t="e">
        <f t="shared" si="4"/>
        <v>#DIV/0!</v>
      </c>
    </row>
    <row r="89" spans="1:6" x14ac:dyDescent="0.25">
      <c r="A89" s="1" t="s">
        <v>34</v>
      </c>
      <c r="B89" s="26" t="s">
        <v>63</v>
      </c>
      <c r="C89" s="62">
        <f>'Water Usage'!M48</f>
        <v>0</v>
      </c>
      <c r="E89" s="55">
        <v>0</v>
      </c>
      <c r="F89" s="34" t="e">
        <f t="shared" si="4"/>
        <v>#DIV/0!</v>
      </c>
    </row>
    <row r="90" spans="1:6" x14ac:dyDescent="0.25">
      <c r="A90" s="1" t="s">
        <v>35</v>
      </c>
      <c r="B90" s="26" t="s">
        <v>63</v>
      </c>
      <c r="C90" s="62">
        <f>'Water Usage'!N48</f>
        <v>0</v>
      </c>
      <c r="E90" s="55">
        <v>0</v>
      </c>
      <c r="F90" s="34" t="e">
        <f t="shared" si="4"/>
        <v>#DIV/0!</v>
      </c>
    </row>
    <row r="92" spans="1:6" x14ac:dyDescent="0.25">
      <c r="B92" s="37" t="s">
        <v>21</v>
      </c>
      <c r="C92" s="67">
        <f>SUM(C79:C90)</f>
        <v>82000</v>
      </c>
      <c r="D92" s="37"/>
      <c r="E92" s="57">
        <f>SUM(E79:E90)</f>
        <v>188.46</v>
      </c>
      <c r="F92" s="36">
        <f>E92/C92</f>
        <v>2.2982926829268292E-3</v>
      </c>
    </row>
    <row r="94" spans="1:6" x14ac:dyDescent="0.25">
      <c r="A94" s="2"/>
      <c r="B94" s="2"/>
      <c r="C94" s="17"/>
      <c r="E94" s="3" t="s">
        <v>20</v>
      </c>
      <c r="F94" s="36" t="s">
        <v>47</v>
      </c>
    </row>
    <row r="95" spans="1:6" x14ac:dyDescent="0.25">
      <c r="A95" s="5" t="s">
        <v>15</v>
      </c>
      <c r="B95" s="5" t="s">
        <v>19</v>
      </c>
      <c r="C95" s="11" t="s">
        <v>20</v>
      </c>
      <c r="E95" s="6" t="s">
        <v>22</v>
      </c>
      <c r="F95" s="61" t="s">
        <v>130</v>
      </c>
    </row>
    <row r="97" spans="1:6" x14ac:dyDescent="0.25">
      <c r="A97" s="1" t="s">
        <v>24</v>
      </c>
      <c r="B97" s="1" t="s">
        <v>128</v>
      </c>
      <c r="C97" s="62">
        <f>'Water Usage'!C57</f>
        <v>0</v>
      </c>
      <c r="E97" s="55">
        <v>0</v>
      </c>
      <c r="F97" s="34" t="e">
        <f>E97/C97</f>
        <v>#DIV/0!</v>
      </c>
    </row>
    <row r="98" spans="1:6" x14ac:dyDescent="0.25">
      <c r="A98" s="1" t="s">
        <v>25</v>
      </c>
      <c r="B98" s="1" t="s">
        <v>128</v>
      </c>
      <c r="C98" s="62">
        <f>'Water Usage'!D57</f>
        <v>0</v>
      </c>
      <c r="E98" s="55">
        <v>0</v>
      </c>
      <c r="F98" s="34" t="e">
        <f t="shared" ref="F98:F108" si="5">E98/C98</f>
        <v>#DIV/0!</v>
      </c>
    </row>
    <row r="99" spans="1:6" x14ac:dyDescent="0.25">
      <c r="A99" s="1" t="s">
        <v>26</v>
      </c>
      <c r="B99" s="1" t="s">
        <v>128</v>
      </c>
      <c r="C99" s="62">
        <f>'Water Usage'!E57</f>
        <v>0</v>
      </c>
      <c r="E99" s="55">
        <v>0</v>
      </c>
      <c r="F99" s="34" t="e">
        <f t="shared" si="5"/>
        <v>#DIV/0!</v>
      </c>
    </row>
    <row r="100" spans="1:6" x14ac:dyDescent="0.25">
      <c r="A100" s="1" t="s">
        <v>41</v>
      </c>
      <c r="B100" s="1" t="s">
        <v>128</v>
      </c>
      <c r="C100" s="62">
        <f>'Water Usage'!F57</f>
        <v>0</v>
      </c>
      <c r="E100" s="55">
        <v>0</v>
      </c>
      <c r="F100" s="34" t="e">
        <f t="shared" si="5"/>
        <v>#DIV/0!</v>
      </c>
    </row>
    <row r="101" spans="1:6" x14ac:dyDescent="0.25">
      <c r="A101" s="1" t="s">
        <v>28</v>
      </c>
      <c r="B101" s="1" t="s">
        <v>128</v>
      </c>
      <c r="C101" s="62">
        <f>'Water Usage'!G57</f>
        <v>0</v>
      </c>
      <c r="E101" s="55">
        <v>0</v>
      </c>
      <c r="F101" s="34" t="e">
        <f t="shared" si="5"/>
        <v>#DIV/0!</v>
      </c>
    </row>
    <row r="102" spans="1:6" x14ac:dyDescent="0.25">
      <c r="A102" s="1" t="s">
        <v>29</v>
      </c>
      <c r="B102" s="1" t="s">
        <v>128</v>
      </c>
      <c r="C102" s="62">
        <f>'Water Usage'!H57</f>
        <v>0</v>
      </c>
      <c r="E102" s="55">
        <v>0</v>
      </c>
      <c r="F102" s="34" t="e">
        <f t="shared" si="5"/>
        <v>#DIV/0!</v>
      </c>
    </row>
    <row r="103" spans="1:6" x14ac:dyDescent="0.25">
      <c r="A103" s="1" t="s">
        <v>30</v>
      </c>
      <c r="B103" s="1" t="s">
        <v>128</v>
      </c>
      <c r="C103" s="62">
        <f>'Water Usage'!I57</f>
        <v>0</v>
      </c>
      <c r="E103" s="55">
        <v>0</v>
      </c>
      <c r="F103" s="34" t="e">
        <f t="shared" si="5"/>
        <v>#DIV/0!</v>
      </c>
    </row>
    <row r="104" spans="1:6" x14ac:dyDescent="0.25">
      <c r="A104" s="1" t="s">
        <v>31</v>
      </c>
      <c r="B104" s="1" t="s">
        <v>128</v>
      </c>
      <c r="C104" s="62">
        <f>'Water Usage'!J57</f>
        <v>0</v>
      </c>
      <c r="E104" s="55">
        <v>0</v>
      </c>
      <c r="F104" s="34" t="e">
        <f t="shared" si="5"/>
        <v>#DIV/0!</v>
      </c>
    </row>
    <row r="105" spans="1:6" x14ac:dyDescent="0.25">
      <c r="A105" s="1" t="s">
        <v>42</v>
      </c>
      <c r="B105" s="1" t="s">
        <v>128</v>
      </c>
      <c r="C105" s="62">
        <f>'Water Usage'!K57</f>
        <v>0</v>
      </c>
      <c r="E105" s="55">
        <v>0</v>
      </c>
      <c r="F105" s="34" t="e">
        <f t="shared" si="5"/>
        <v>#DIV/0!</v>
      </c>
    </row>
    <row r="106" spans="1:6" x14ac:dyDescent="0.25">
      <c r="A106" s="1" t="s">
        <v>33</v>
      </c>
      <c r="B106" s="1" t="s">
        <v>128</v>
      </c>
      <c r="C106" s="62">
        <f>'Water Usage'!L57</f>
        <v>0</v>
      </c>
      <c r="E106" s="55">
        <v>0</v>
      </c>
      <c r="F106" s="34" t="e">
        <f t="shared" si="5"/>
        <v>#DIV/0!</v>
      </c>
    </row>
    <row r="107" spans="1:6" x14ac:dyDescent="0.25">
      <c r="A107" s="1" t="s">
        <v>34</v>
      </c>
      <c r="B107" s="1" t="s">
        <v>128</v>
      </c>
      <c r="C107" s="62">
        <f>'Water Usage'!M57</f>
        <v>0</v>
      </c>
      <c r="E107" s="55">
        <v>0</v>
      </c>
      <c r="F107" s="34" t="e">
        <f t="shared" si="5"/>
        <v>#DIV/0!</v>
      </c>
    </row>
    <row r="108" spans="1:6" x14ac:dyDescent="0.25">
      <c r="A108" s="1" t="s">
        <v>35</v>
      </c>
      <c r="B108" s="1" t="s">
        <v>128</v>
      </c>
      <c r="C108" s="62">
        <f>'Water Usage'!N57</f>
        <v>0</v>
      </c>
      <c r="E108" s="55">
        <v>0</v>
      </c>
      <c r="F108" s="34" t="e">
        <f t="shared" si="5"/>
        <v>#DIV/0!</v>
      </c>
    </row>
    <row r="110" spans="1:6" x14ac:dyDescent="0.25">
      <c r="B110" s="37" t="s">
        <v>21</v>
      </c>
      <c r="C110" s="67">
        <f>SUM(C97:C108)</f>
        <v>0</v>
      </c>
      <c r="D110" s="37"/>
      <c r="E110" s="57">
        <f>SUM(E97:E108)</f>
        <v>0</v>
      </c>
      <c r="F110" s="36" t="e">
        <f>E110/C110</f>
        <v>#DIV/0!</v>
      </c>
    </row>
    <row r="112" spans="1:6" x14ac:dyDescent="0.25">
      <c r="A112" s="2"/>
      <c r="B112" s="2"/>
      <c r="C112" s="17"/>
      <c r="E112" s="3" t="s">
        <v>20</v>
      </c>
      <c r="F112" s="36" t="s">
        <v>47</v>
      </c>
    </row>
    <row r="113" spans="1:6" x14ac:dyDescent="0.25">
      <c r="A113" s="5" t="s">
        <v>15</v>
      </c>
      <c r="B113" s="5" t="s">
        <v>19</v>
      </c>
      <c r="C113" s="11" t="s">
        <v>20</v>
      </c>
      <c r="E113" s="6" t="s">
        <v>22</v>
      </c>
      <c r="F113" s="61" t="s">
        <v>130</v>
      </c>
    </row>
    <row r="115" spans="1:6" x14ac:dyDescent="0.25">
      <c r="A115" s="1" t="s">
        <v>24</v>
      </c>
      <c r="B115" s="1" t="s">
        <v>154</v>
      </c>
      <c r="C115" s="62">
        <f>'Water Usage'!C66</f>
        <v>1000</v>
      </c>
      <c r="E115" s="55">
        <v>31.41</v>
      </c>
      <c r="F115" s="34">
        <f>E115/C115</f>
        <v>3.141E-2</v>
      </c>
    </row>
    <row r="116" spans="1:6" x14ac:dyDescent="0.25">
      <c r="A116" s="1" t="s">
        <v>25</v>
      </c>
      <c r="B116" s="1" t="s">
        <v>154</v>
      </c>
      <c r="C116" s="62">
        <f>'Water Usage'!D66</f>
        <v>0</v>
      </c>
      <c r="E116" s="55">
        <v>31.41</v>
      </c>
      <c r="F116" s="34" t="e">
        <f t="shared" ref="F116:F126" si="6">E116/C116</f>
        <v>#DIV/0!</v>
      </c>
    </row>
    <row r="117" spans="1:6" x14ac:dyDescent="0.25">
      <c r="A117" s="1" t="s">
        <v>26</v>
      </c>
      <c r="B117" s="1" t="s">
        <v>154</v>
      </c>
      <c r="C117" s="62">
        <f>'Water Usage'!E66</f>
        <v>1000</v>
      </c>
      <c r="E117" s="55">
        <v>31.41</v>
      </c>
      <c r="F117" s="34">
        <f t="shared" si="6"/>
        <v>3.141E-2</v>
      </c>
    </row>
    <row r="118" spans="1:6" x14ac:dyDescent="0.25">
      <c r="A118" s="1" t="s">
        <v>41</v>
      </c>
      <c r="B118" s="1" t="s">
        <v>154</v>
      </c>
      <c r="C118" s="62">
        <f>'Water Usage'!F66</f>
        <v>0</v>
      </c>
      <c r="E118" s="55">
        <v>31.41</v>
      </c>
      <c r="F118" s="34" t="e">
        <f t="shared" si="6"/>
        <v>#DIV/0!</v>
      </c>
    </row>
    <row r="119" spans="1:6" x14ac:dyDescent="0.25">
      <c r="A119" s="1" t="s">
        <v>28</v>
      </c>
      <c r="B119" s="1" t="s">
        <v>154</v>
      </c>
      <c r="C119" s="62">
        <f>'Water Usage'!G66</f>
        <v>0</v>
      </c>
      <c r="E119" s="55">
        <v>31.41</v>
      </c>
      <c r="F119" s="34" t="e">
        <f t="shared" si="6"/>
        <v>#DIV/0!</v>
      </c>
    </row>
    <row r="120" spans="1:6" x14ac:dyDescent="0.25">
      <c r="A120" s="1" t="s">
        <v>29</v>
      </c>
      <c r="B120" s="1" t="s">
        <v>154</v>
      </c>
      <c r="C120" s="62">
        <f>'Water Usage'!H66</f>
        <v>0</v>
      </c>
      <c r="E120" s="55">
        <v>31.41</v>
      </c>
      <c r="F120" s="34" t="e">
        <f t="shared" si="6"/>
        <v>#DIV/0!</v>
      </c>
    </row>
    <row r="121" spans="1:6" x14ac:dyDescent="0.25">
      <c r="A121" s="1" t="s">
        <v>30</v>
      </c>
      <c r="B121" s="1" t="s">
        <v>154</v>
      </c>
      <c r="C121" s="62">
        <f>'Water Usage'!I66</f>
        <v>0</v>
      </c>
      <c r="E121" s="55">
        <v>0</v>
      </c>
      <c r="F121" s="34" t="e">
        <f t="shared" si="6"/>
        <v>#DIV/0!</v>
      </c>
    </row>
    <row r="122" spans="1:6" x14ac:dyDescent="0.25">
      <c r="A122" s="1" t="s">
        <v>31</v>
      </c>
      <c r="B122" s="1" t="s">
        <v>154</v>
      </c>
      <c r="C122" s="62">
        <f>'Water Usage'!J66</f>
        <v>0</v>
      </c>
      <c r="E122" s="55">
        <v>0</v>
      </c>
      <c r="F122" s="34" t="e">
        <f t="shared" si="6"/>
        <v>#DIV/0!</v>
      </c>
    </row>
    <row r="123" spans="1:6" x14ac:dyDescent="0.25">
      <c r="A123" s="1" t="s">
        <v>42</v>
      </c>
      <c r="B123" s="1" t="s">
        <v>154</v>
      </c>
      <c r="C123" s="62">
        <f>'Water Usage'!K66</f>
        <v>0</v>
      </c>
      <c r="E123" s="55">
        <v>0</v>
      </c>
      <c r="F123" s="34" t="e">
        <f t="shared" si="6"/>
        <v>#DIV/0!</v>
      </c>
    </row>
    <row r="124" spans="1:6" x14ac:dyDescent="0.25">
      <c r="A124" s="1" t="s">
        <v>33</v>
      </c>
      <c r="B124" s="1" t="s">
        <v>154</v>
      </c>
      <c r="C124" s="62">
        <f>'Water Usage'!L66</f>
        <v>0</v>
      </c>
      <c r="E124" s="55">
        <v>0</v>
      </c>
      <c r="F124" s="34" t="e">
        <f t="shared" si="6"/>
        <v>#DIV/0!</v>
      </c>
    </row>
    <row r="125" spans="1:6" x14ac:dyDescent="0.25">
      <c r="A125" s="1" t="s">
        <v>34</v>
      </c>
      <c r="B125" s="1" t="s">
        <v>154</v>
      </c>
      <c r="C125" s="62">
        <f>'Water Usage'!M66</f>
        <v>0</v>
      </c>
      <c r="E125" s="55">
        <v>0</v>
      </c>
      <c r="F125" s="34" t="e">
        <f t="shared" si="6"/>
        <v>#DIV/0!</v>
      </c>
    </row>
    <row r="126" spans="1:6" x14ac:dyDescent="0.25">
      <c r="A126" s="1" t="s">
        <v>35</v>
      </c>
      <c r="B126" s="1" t="s">
        <v>154</v>
      </c>
      <c r="C126" s="62">
        <f>'Water Usage'!N66</f>
        <v>0</v>
      </c>
      <c r="E126" s="55">
        <v>0</v>
      </c>
      <c r="F126" s="34" t="e">
        <f t="shared" si="6"/>
        <v>#DIV/0!</v>
      </c>
    </row>
    <row r="128" spans="1:6" x14ac:dyDescent="0.25">
      <c r="B128" s="37" t="s">
        <v>21</v>
      </c>
      <c r="C128" s="67">
        <f>SUM(C115:C126)</f>
        <v>2000</v>
      </c>
      <c r="D128" s="37"/>
      <c r="E128" s="57">
        <f>SUM(E115:E126)</f>
        <v>188.46</v>
      </c>
      <c r="F128" s="36">
        <f>E128/C128</f>
        <v>9.4230000000000008E-2</v>
      </c>
    </row>
    <row r="129" spans="1:6" x14ac:dyDescent="0.25">
      <c r="B129" s="37"/>
      <c r="C129" s="67"/>
      <c r="D129" s="37"/>
      <c r="E129" s="57"/>
      <c r="F129" s="36"/>
    </row>
    <row r="130" spans="1:6" x14ac:dyDescent="0.25">
      <c r="A130" s="2"/>
      <c r="B130" s="2"/>
      <c r="C130" s="17"/>
      <c r="E130" s="3" t="s">
        <v>20</v>
      </c>
      <c r="F130" s="36" t="s">
        <v>47</v>
      </c>
    </row>
    <row r="131" spans="1:6" x14ac:dyDescent="0.25">
      <c r="A131" s="5" t="s">
        <v>15</v>
      </c>
      <c r="B131" s="5" t="s">
        <v>19</v>
      </c>
      <c r="C131" s="11" t="s">
        <v>20</v>
      </c>
      <c r="E131" s="6" t="s">
        <v>22</v>
      </c>
      <c r="F131" s="61" t="s">
        <v>130</v>
      </c>
    </row>
    <row r="133" spans="1:6" x14ac:dyDescent="0.25">
      <c r="A133" s="1" t="s">
        <v>24</v>
      </c>
      <c r="B133" s="1" t="s">
        <v>153</v>
      </c>
      <c r="C133" s="62">
        <f>'Water Usage'!C75</f>
        <v>0</v>
      </c>
      <c r="E133" s="55">
        <v>0</v>
      </c>
      <c r="F133" s="34" t="e">
        <f>E133/C133</f>
        <v>#DIV/0!</v>
      </c>
    </row>
    <row r="134" spans="1:6" x14ac:dyDescent="0.25">
      <c r="A134" s="1" t="s">
        <v>25</v>
      </c>
      <c r="B134" s="1" t="s">
        <v>153</v>
      </c>
      <c r="C134" s="62">
        <f>'Water Usage'!D75</f>
        <v>0</v>
      </c>
      <c r="E134" s="55">
        <v>0</v>
      </c>
      <c r="F134" s="34" t="e">
        <f t="shared" ref="F134:F144" si="7">E134/C134</f>
        <v>#DIV/0!</v>
      </c>
    </row>
    <row r="135" spans="1:6" x14ac:dyDescent="0.25">
      <c r="A135" s="1" t="s">
        <v>26</v>
      </c>
      <c r="B135" s="1" t="s">
        <v>153</v>
      </c>
      <c r="C135" s="62">
        <f>'Water Usage'!E75</f>
        <v>0</v>
      </c>
      <c r="E135" s="55">
        <v>0</v>
      </c>
      <c r="F135" s="34" t="e">
        <f t="shared" si="7"/>
        <v>#DIV/0!</v>
      </c>
    </row>
    <row r="136" spans="1:6" x14ac:dyDescent="0.25">
      <c r="A136" s="1" t="s">
        <v>41</v>
      </c>
      <c r="B136" s="1" t="s">
        <v>153</v>
      </c>
      <c r="C136" s="62">
        <f>'Water Usage'!F75</f>
        <v>0</v>
      </c>
      <c r="E136" s="55">
        <v>31.41</v>
      </c>
      <c r="F136" s="34" t="e">
        <f t="shared" si="7"/>
        <v>#DIV/0!</v>
      </c>
    </row>
    <row r="137" spans="1:6" x14ac:dyDescent="0.25">
      <c r="A137" s="1" t="s">
        <v>28</v>
      </c>
      <c r="B137" s="1" t="s">
        <v>153</v>
      </c>
      <c r="C137" s="62">
        <f>'Water Usage'!G75</f>
        <v>1000</v>
      </c>
      <c r="E137" s="55">
        <v>31.41</v>
      </c>
      <c r="F137" s="34">
        <f t="shared" si="7"/>
        <v>3.141E-2</v>
      </c>
    </row>
    <row r="138" spans="1:6" x14ac:dyDescent="0.25">
      <c r="A138" s="1" t="s">
        <v>29</v>
      </c>
      <c r="B138" s="1" t="s">
        <v>153</v>
      </c>
      <c r="C138" s="62">
        <f>'Water Usage'!H75</f>
        <v>0</v>
      </c>
      <c r="E138" s="55">
        <v>0</v>
      </c>
      <c r="F138" s="34" t="e">
        <f t="shared" si="7"/>
        <v>#DIV/0!</v>
      </c>
    </row>
    <row r="139" spans="1:6" x14ac:dyDescent="0.25">
      <c r="A139" s="1" t="s">
        <v>30</v>
      </c>
      <c r="B139" s="1" t="s">
        <v>153</v>
      </c>
      <c r="C139" s="62">
        <f>'Water Usage'!I75</f>
        <v>0</v>
      </c>
      <c r="E139" s="55">
        <v>0</v>
      </c>
      <c r="F139" s="34" t="e">
        <f t="shared" si="7"/>
        <v>#DIV/0!</v>
      </c>
    </row>
    <row r="140" spans="1:6" x14ac:dyDescent="0.25">
      <c r="A140" s="1" t="s">
        <v>31</v>
      </c>
      <c r="B140" s="1" t="s">
        <v>153</v>
      </c>
      <c r="C140" s="62">
        <f>'Water Usage'!J75</f>
        <v>0</v>
      </c>
      <c r="E140" s="55">
        <v>0</v>
      </c>
      <c r="F140" s="34" t="e">
        <f t="shared" si="7"/>
        <v>#DIV/0!</v>
      </c>
    </row>
    <row r="141" spans="1:6" x14ac:dyDescent="0.25">
      <c r="A141" s="1" t="s">
        <v>42</v>
      </c>
      <c r="B141" s="1" t="s">
        <v>153</v>
      </c>
      <c r="C141" s="62">
        <f>'Water Usage'!K75</f>
        <v>0</v>
      </c>
      <c r="E141" s="55">
        <v>0</v>
      </c>
      <c r="F141" s="34" t="e">
        <f t="shared" si="7"/>
        <v>#DIV/0!</v>
      </c>
    </row>
    <row r="142" spans="1:6" x14ac:dyDescent="0.25">
      <c r="A142" s="1" t="s">
        <v>33</v>
      </c>
      <c r="B142" s="1" t="s">
        <v>153</v>
      </c>
      <c r="C142" s="62">
        <f>'Water Usage'!L75</f>
        <v>0</v>
      </c>
      <c r="E142" s="55">
        <v>0</v>
      </c>
      <c r="F142" s="34" t="e">
        <f t="shared" si="7"/>
        <v>#DIV/0!</v>
      </c>
    </row>
    <row r="143" spans="1:6" x14ac:dyDescent="0.25">
      <c r="A143" s="1" t="s">
        <v>34</v>
      </c>
      <c r="B143" s="1" t="s">
        <v>153</v>
      </c>
      <c r="C143" s="62">
        <f>'Water Usage'!M75</f>
        <v>0</v>
      </c>
      <c r="E143" s="55">
        <v>0</v>
      </c>
      <c r="F143" s="34" t="e">
        <f t="shared" si="7"/>
        <v>#DIV/0!</v>
      </c>
    </row>
    <row r="144" spans="1:6" x14ac:dyDescent="0.25">
      <c r="A144" s="1" t="s">
        <v>35</v>
      </c>
      <c r="B144" s="1" t="s">
        <v>153</v>
      </c>
      <c r="C144" s="62">
        <f>'Water Usage'!N75</f>
        <v>0</v>
      </c>
      <c r="E144" s="55">
        <v>0</v>
      </c>
      <c r="F144" s="34" t="e">
        <f t="shared" si="7"/>
        <v>#DIV/0!</v>
      </c>
    </row>
    <row r="146" spans="1:6" x14ac:dyDescent="0.25">
      <c r="B146" s="37" t="s">
        <v>21</v>
      </c>
      <c r="C146" s="67">
        <f>SUM(C133:C144)</f>
        <v>1000</v>
      </c>
      <c r="D146" s="37"/>
      <c r="E146" s="57">
        <f>SUM(E133:E144)</f>
        <v>62.82</v>
      </c>
      <c r="F146" s="36">
        <f>E146/C146</f>
        <v>6.2820000000000001E-2</v>
      </c>
    </row>
    <row r="147" spans="1:6" x14ac:dyDescent="0.25">
      <c r="B147" s="37"/>
      <c r="C147" s="67"/>
      <c r="D147" s="37"/>
      <c r="E147" s="57"/>
      <c r="F147" s="36"/>
    </row>
    <row r="148" spans="1:6" x14ac:dyDescent="0.25">
      <c r="A148" s="2"/>
      <c r="B148" s="2"/>
      <c r="C148" s="17"/>
      <c r="E148" s="3" t="s">
        <v>20</v>
      </c>
      <c r="F148" s="36" t="s">
        <v>47</v>
      </c>
    </row>
    <row r="149" spans="1:6" x14ac:dyDescent="0.25">
      <c r="A149" s="5" t="s">
        <v>23</v>
      </c>
      <c r="B149" s="5" t="s">
        <v>19</v>
      </c>
      <c r="C149" s="11" t="s">
        <v>20</v>
      </c>
      <c r="E149" s="6" t="s">
        <v>22</v>
      </c>
      <c r="F149" s="61" t="s">
        <v>130</v>
      </c>
    </row>
    <row r="151" spans="1:6" x14ac:dyDescent="0.25">
      <c r="A151" s="1">
        <v>2017</v>
      </c>
      <c r="B151" s="1" t="s">
        <v>44</v>
      </c>
      <c r="C151" s="62">
        <f>SUM('Water Usage'!O8+'Water Usage'!O17+'Water Usage'!O26+'Water Usage'!O35+'Water Usage'!O44+'Water Usage'!O53+'Water Usage'!O62+'Water Usage'!O71)</f>
        <v>6782000</v>
      </c>
    </row>
    <row r="152" spans="1:6" x14ac:dyDescent="0.25">
      <c r="A152" s="1">
        <v>2018</v>
      </c>
      <c r="B152" s="1" t="s">
        <v>44</v>
      </c>
      <c r="C152" s="62">
        <f>SUM('Water Usage'!O9+'Water Usage'!O18+'Water Usage'!O27+'Water Usage'!O36+'Water Usage'!O45+'Water Usage'!O54+'Water Usage'!O63+'Water Usage'!O72)</f>
        <v>5592000</v>
      </c>
    </row>
    <row r="153" spans="1:6" x14ac:dyDescent="0.25">
      <c r="A153" s="1">
        <v>2019</v>
      </c>
      <c r="B153" s="1" t="s">
        <v>44</v>
      </c>
      <c r="C153" s="62">
        <f>SUM('Water Usage'!O10+'Water Usage'!O19+'Water Usage'!O28+'Water Usage'!O37+'Water Usage'!O46+'Water Usage'!O55+'Water Usage'!O64+'Water Usage'!O73)</f>
        <v>6505000</v>
      </c>
    </row>
    <row r="154" spans="1:6" x14ac:dyDescent="0.25">
      <c r="A154" s="1" t="s">
        <v>14</v>
      </c>
      <c r="B154" s="1" t="s">
        <v>14</v>
      </c>
      <c r="C154" s="10" t="s">
        <v>14</v>
      </c>
    </row>
    <row r="155" spans="1:6" x14ac:dyDescent="0.25">
      <c r="A155" s="1">
        <v>2020</v>
      </c>
      <c r="B155" s="1" t="s">
        <v>44</v>
      </c>
      <c r="C155" s="10">
        <f>SUM(C20+C38+C56+C74+C92+C110+C128+C146)</f>
        <v>2125000</v>
      </c>
      <c r="E155" s="55">
        <f>SUM(E20+E38+E56+E74+E92+E110+E128+E146)</f>
        <v>18849.39</v>
      </c>
      <c r="F155" s="55">
        <f>E155/C155</f>
        <v>8.8703011764705887E-3</v>
      </c>
    </row>
    <row r="157" spans="1:6" x14ac:dyDescent="0.25">
      <c r="B157" s="2" t="s">
        <v>46</v>
      </c>
      <c r="C157" s="67">
        <f>SUM(C152+C151+C153)/3</f>
        <v>6293000</v>
      </c>
      <c r="D157" s="37"/>
      <c r="E157" s="57">
        <f>C157*F155</f>
        <v>55820.805303529414</v>
      </c>
      <c r="F157" s="37">
        <f>E157/C157</f>
        <v>8.8703011764705887E-3</v>
      </c>
    </row>
  </sheetData>
  <pageMargins left="0.2" right="0.2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79"/>
  <sheetViews>
    <sheetView workbookViewId="0">
      <selection sqref="A1:A1048576"/>
    </sheetView>
  </sheetViews>
  <sheetFormatPr defaultRowHeight="15" x14ac:dyDescent="0.25"/>
  <cols>
    <col min="1" max="1" width="24.28515625" style="26" customWidth="1"/>
    <col min="3" max="3" width="12.28515625" customWidth="1"/>
    <col min="4" max="5" width="14.7109375" customWidth="1"/>
    <col min="6" max="6" width="11.5703125" customWidth="1"/>
    <col min="7" max="7" width="13" customWidth="1"/>
    <col min="8" max="8" width="13.5703125" customWidth="1"/>
    <col min="9" max="9" width="14.140625" customWidth="1"/>
    <col min="10" max="10" width="15.5703125" customWidth="1"/>
    <col min="11" max="11" width="14.28515625" customWidth="1"/>
    <col min="12" max="12" width="12.140625" customWidth="1"/>
    <col min="13" max="13" width="12.7109375" customWidth="1"/>
    <col min="14" max="14" width="13.140625" customWidth="1"/>
    <col min="15" max="15" width="13.7109375" customWidth="1"/>
    <col min="16" max="16" width="2.7109375" customWidth="1"/>
    <col min="17" max="17" width="10.7109375" style="33" bestFit="1" customWidth="1"/>
  </cols>
  <sheetData>
    <row r="1" spans="1:17" x14ac:dyDescent="0.25">
      <c r="A1" s="54" t="s">
        <v>129</v>
      </c>
      <c r="B1" s="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"/>
    </row>
    <row r="2" spans="1:17" x14ac:dyDescent="0.25">
      <c r="A2" s="54" t="s">
        <v>179</v>
      </c>
      <c r="B2" s="9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"/>
    </row>
    <row r="3" spans="1:17" x14ac:dyDescent="0.25">
      <c r="B3" s="13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1"/>
    </row>
    <row r="4" spans="1:17" x14ac:dyDescent="0.25">
      <c r="B4" s="9" t="s">
        <v>14</v>
      </c>
      <c r="C4" s="48"/>
      <c r="D4" s="49" t="s">
        <v>14</v>
      </c>
      <c r="E4" s="48"/>
      <c r="F4" s="49" t="s">
        <v>14</v>
      </c>
      <c r="G4" s="48"/>
      <c r="I4" s="48"/>
      <c r="J4" s="48"/>
      <c r="K4" s="48"/>
      <c r="L4" s="48"/>
      <c r="M4" s="48"/>
      <c r="N4" s="48"/>
      <c r="O4" s="1"/>
    </row>
    <row r="5" spans="1:17" x14ac:dyDescent="0.25">
      <c r="B5" s="9"/>
      <c r="C5" s="48"/>
      <c r="D5" s="49"/>
      <c r="E5" s="48"/>
      <c r="F5" s="49"/>
      <c r="G5" s="48"/>
      <c r="I5" s="48"/>
      <c r="J5" s="48"/>
      <c r="K5" s="48"/>
      <c r="L5" s="48"/>
      <c r="M5" s="48"/>
      <c r="N5" s="48"/>
      <c r="O5" s="1"/>
      <c r="Q5" s="63" t="s">
        <v>138</v>
      </c>
    </row>
    <row r="6" spans="1:17" x14ac:dyDescent="0.25">
      <c r="A6" s="38" t="s">
        <v>45</v>
      </c>
      <c r="B6" s="5" t="s">
        <v>23</v>
      </c>
      <c r="C6" s="50" t="s">
        <v>24</v>
      </c>
      <c r="D6" s="50" t="s">
        <v>25</v>
      </c>
      <c r="E6" s="50" t="s">
        <v>26</v>
      </c>
      <c r="F6" s="50" t="s">
        <v>27</v>
      </c>
      <c r="G6" s="50" t="s">
        <v>28</v>
      </c>
      <c r="H6" s="50" t="s">
        <v>29</v>
      </c>
      <c r="I6" s="50" t="s">
        <v>30</v>
      </c>
      <c r="J6" s="50" t="s">
        <v>31</v>
      </c>
      <c r="K6" s="50" t="s">
        <v>32</v>
      </c>
      <c r="L6" s="50" t="s">
        <v>109</v>
      </c>
      <c r="M6" s="50" t="s">
        <v>110</v>
      </c>
      <c r="N6" s="50" t="s">
        <v>111</v>
      </c>
      <c r="O6" s="50" t="s">
        <v>21</v>
      </c>
      <c r="Q6" s="69" t="s">
        <v>23</v>
      </c>
    </row>
    <row r="7" spans="1:17" x14ac:dyDescent="0.25">
      <c r="B7" s="1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1"/>
    </row>
    <row r="8" spans="1:17" x14ac:dyDescent="0.25">
      <c r="A8" s="26" t="s">
        <v>9</v>
      </c>
      <c r="B8" s="22">
        <v>2017</v>
      </c>
      <c r="C8" s="48">
        <f>555*1000</f>
        <v>555000</v>
      </c>
      <c r="D8" s="48">
        <f>389*1000</f>
        <v>389000</v>
      </c>
      <c r="E8" s="48">
        <f>409*1000</f>
        <v>409000</v>
      </c>
      <c r="F8" s="48">
        <f>541*1000</f>
        <v>541000</v>
      </c>
      <c r="G8" s="48">
        <f>482*1000</f>
        <v>482000</v>
      </c>
      <c r="H8" s="48">
        <f>870*1000</f>
        <v>870000</v>
      </c>
      <c r="I8" s="48">
        <f>679*1000</f>
        <v>679000</v>
      </c>
      <c r="J8" s="48">
        <f>679*1000</f>
        <v>679000</v>
      </c>
      <c r="K8" s="48">
        <f>627*1000</f>
        <v>627000</v>
      </c>
      <c r="L8" s="48">
        <f>505*1000</f>
        <v>505000</v>
      </c>
      <c r="M8" s="48">
        <f>365*1000</f>
        <v>365000</v>
      </c>
      <c r="N8" s="48">
        <f>427*1000</f>
        <v>427000</v>
      </c>
      <c r="O8" s="48">
        <f t="shared" ref="O8:O10" si="0">SUM(C8:N8)</f>
        <v>6528000</v>
      </c>
    </row>
    <row r="9" spans="1:17" x14ac:dyDescent="0.25">
      <c r="B9" s="22">
        <v>2018</v>
      </c>
      <c r="C9" s="48">
        <f>309*1000</f>
        <v>309000</v>
      </c>
      <c r="D9" s="48">
        <f>313*1000</f>
        <v>313000</v>
      </c>
      <c r="E9" s="48">
        <f>285*1000</f>
        <v>285000</v>
      </c>
      <c r="F9" s="48">
        <f>355*1000</f>
        <v>355000</v>
      </c>
      <c r="G9" s="48">
        <f>301*1000</f>
        <v>301000</v>
      </c>
      <c r="H9" s="48">
        <f>571*1000</f>
        <v>571000</v>
      </c>
      <c r="I9" s="48">
        <f>577*1000</f>
        <v>577000</v>
      </c>
      <c r="J9" s="48">
        <f>691*1000</f>
        <v>691000</v>
      </c>
      <c r="K9" s="48">
        <f>727*1000</f>
        <v>727000</v>
      </c>
      <c r="L9" s="48">
        <f>490*1000</f>
        <v>490000</v>
      </c>
      <c r="M9" s="48">
        <f>398*1000</f>
        <v>398000</v>
      </c>
      <c r="N9" s="48">
        <f>296*1000</f>
        <v>296000</v>
      </c>
      <c r="O9" s="48">
        <f t="shared" si="0"/>
        <v>5313000</v>
      </c>
      <c r="Q9" s="70">
        <f>SUM(C10:I10)</f>
        <v>2960000</v>
      </c>
    </row>
    <row r="10" spans="1:17" x14ac:dyDescent="0.25">
      <c r="B10" s="22">
        <v>2019</v>
      </c>
      <c r="C10" s="48">
        <f>259*1000</f>
        <v>259000</v>
      </c>
      <c r="D10" s="48">
        <f>259*1000</f>
        <v>259000</v>
      </c>
      <c r="E10" s="48">
        <f>248*1000</f>
        <v>248000</v>
      </c>
      <c r="F10" s="48">
        <f>353*1000</f>
        <v>353000</v>
      </c>
      <c r="G10" s="48">
        <f>461*1000</f>
        <v>461000</v>
      </c>
      <c r="H10" s="48">
        <f>695*1000</f>
        <v>695000</v>
      </c>
      <c r="I10" s="48">
        <f>685*1000</f>
        <v>685000</v>
      </c>
      <c r="J10" s="48">
        <f>1087*1000</f>
        <v>1087000</v>
      </c>
      <c r="K10" s="48">
        <f>884*1000</f>
        <v>884000</v>
      </c>
      <c r="L10" s="48">
        <f>634*1000</f>
        <v>634000</v>
      </c>
      <c r="M10" s="48">
        <f>339*1000</f>
        <v>339000</v>
      </c>
      <c r="N10" s="48">
        <f>260*1000</f>
        <v>260000</v>
      </c>
      <c r="O10" s="48">
        <f t="shared" si="0"/>
        <v>6164000</v>
      </c>
    </row>
    <row r="11" spans="1:17" x14ac:dyDescent="0.25">
      <c r="B11" s="22" t="s">
        <v>14</v>
      </c>
      <c r="C11" s="48" t="s">
        <v>14</v>
      </c>
      <c r="D11" s="48" t="s">
        <v>14</v>
      </c>
      <c r="E11" s="48" t="s">
        <v>14</v>
      </c>
      <c r="F11" s="48" t="s">
        <v>14</v>
      </c>
      <c r="G11" s="48" t="s">
        <v>14</v>
      </c>
      <c r="H11" s="48" t="s">
        <v>14</v>
      </c>
      <c r="I11" s="48" t="s">
        <v>14</v>
      </c>
      <c r="J11" s="48" t="s">
        <v>14</v>
      </c>
      <c r="K11" s="48" t="s">
        <v>14</v>
      </c>
      <c r="L11" s="48" t="s">
        <v>14</v>
      </c>
      <c r="M11" s="48" t="s">
        <v>14</v>
      </c>
      <c r="N11" s="48" t="s">
        <v>14</v>
      </c>
      <c r="O11" s="48" t="s">
        <v>14</v>
      </c>
    </row>
    <row r="12" spans="1:17" x14ac:dyDescent="0.25">
      <c r="B12" s="22">
        <v>2020</v>
      </c>
      <c r="C12" s="48">
        <f>290*1000</f>
        <v>290000</v>
      </c>
      <c r="D12" s="48">
        <f>239*1000</f>
        <v>239000</v>
      </c>
      <c r="E12" s="48">
        <f>256*1000</f>
        <v>256000</v>
      </c>
      <c r="F12" s="48">
        <f>146*1000</f>
        <v>146000</v>
      </c>
      <c r="G12" s="48">
        <f>51*1000</f>
        <v>51000</v>
      </c>
      <c r="H12" s="48">
        <f>352*1000</f>
        <v>352000</v>
      </c>
      <c r="I12" s="48">
        <f>500*1000</f>
        <v>500000</v>
      </c>
      <c r="J12" s="48">
        <f t="shared" ref="J12:N12" si="1">0*1000</f>
        <v>0</v>
      </c>
      <c r="K12" s="48">
        <f t="shared" si="1"/>
        <v>0</v>
      </c>
      <c r="L12" s="48">
        <f t="shared" si="1"/>
        <v>0</v>
      </c>
      <c r="M12" s="48">
        <f t="shared" si="1"/>
        <v>0</v>
      </c>
      <c r="N12" s="48">
        <f t="shared" si="1"/>
        <v>0</v>
      </c>
      <c r="O12" s="48">
        <f t="shared" ref="O12" si="2">SUM(C12:N12)</f>
        <v>1834000</v>
      </c>
    </row>
    <row r="13" spans="1:17" x14ac:dyDescent="0.25">
      <c r="B13" s="22" t="s">
        <v>14</v>
      </c>
      <c r="C13" s="48" t="s">
        <v>14</v>
      </c>
      <c r="D13" s="48" t="s">
        <v>14</v>
      </c>
      <c r="E13" s="48" t="s">
        <v>14</v>
      </c>
      <c r="F13" s="48" t="s">
        <v>14</v>
      </c>
      <c r="G13" s="48" t="s">
        <v>14</v>
      </c>
      <c r="H13" s="48" t="s">
        <v>14</v>
      </c>
      <c r="I13" s="48" t="s">
        <v>14</v>
      </c>
      <c r="J13" s="48" t="s">
        <v>14</v>
      </c>
      <c r="K13" s="48" t="s">
        <v>14</v>
      </c>
      <c r="L13" s="48" t="s">
        <v>14</v>
      </c>
      <c r="M13" s="48" t="s">
        <v>14</v>
      </c>
      <c r="N13" s="48" t="s">
        <v>14</v>
      </c>
      <c r="O13" s="48" t="s">
        <v>14</v>
      </c>
    </row>
    <row r="14" spans="1:17" x14ac:dyDescent="0.25"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  <c r="Q14" s="63" t="s">
        <v>138</v>
      </c>
    </row>
    <row r="15" spans="1:17" x14ac:dyDescent="0.25">
      <c r="A15" s="38" t="s">
        <v>45</v>
      </c>
      <c r="B15" s="5" t="s">
        <v>23</v>
      </c>
      <c r="C15" s="50" t="s">
        <v>24</v>
      </c>
      <c r="D15" s="50" t="s">
        <v>25</v>
      </c>
      <c r="E15" s="50" t="s">
        <v>26</v>
      </c>
      <c r="F15" s="50" t="s">
        <v>27</v>
      </c>
      <c r="G15" s="50" t="s">
        <v>28</v>
      </c>
      <c r="H15" s="50" t="s">
        <v>29</v>
      </c>
      <c r="I15" s="50" t="s">
        <v>30</v>
      </c>
      <c r="J15" s="50" t="s">
        <v>31</v>
      </c>
      <c r="K15" s="50" t="s">
        <v>32</v>
      </c>
      <c r="L15" s="50" t="s">
        <v>109</v>
      </c>
      <c r="M15" s="50" t="s">
        <v>110</v>
      </c>
      <c r="N15" s="50" t="s">
        <v>111</v>
      </c>
      <c r="O15" s="50" t="s">
        <v>21</v>
      </c>
      <c r="Q15" s="69" t="s">
        <v>23</v>
      </c>
    </row>
    <row r="16" spans="1:17" x14ac:dyDescent="0.25">
      <c r="B16" s="1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1"/>
    </row>
    <row r="17" spans="1:17" x14ac:dyDescent="0.25">
      <c r="A17" s="26" t="s">
        <v>61</v>
      </c>
      <c r="B17" s="1">
        <v>2017</v>
      </c>
      <c r="C17" s="48">
        <f>9*1000</f>
        <v>9000</v>
      </c>
      <c r="D17" s="48">
        <f>9*1000</f>
        <v>9000</v>
      </c>
      <c r="E17" s="48">
        <f>10*1000</f>
        <v>10000</v>
      </c>
      <c r="F17" s="48">
        <f>13*1000</f>
        <v>13000</v>
      </c>
      <c r="G17" s="48">
        <f>21*1000</f>
        <v>21000</v>
      </c>
      <c r="H17" s="48">
        <f>24*1000</f>
        <v>24000</v>
      </c>
      <c r="I17" s="48">
        <f>10*1000</f>
        <v>10000</v>
      </c>
      <c r="J17" s="48">
        <f>9*1000</f>
        <v>9000</v>
      </c>
      <c r="K17" s="48">
        <f>18*1000</f>
        <v>18000</v>
      </c>
      <c r="L17" s="48">
        <f>9*1000</f>
        <v>9000</v>
      </c>
      <c r="M17" s="48">
        <f>19*1000</f>
        <v>19000</v>
      </c>
      <c r="N17" s="48">
        <f>8*1000</f>
        <v>8000</v>
      </c>
      <c r="O17" s="48">
        <f t="shared" ref="O17:O19" si="3">SUM(C17:N17)</f>
        <v>159000</v>
      </c>
    </row>
    <row r="18" spans="1:17" x14ac:dyDescent="0.25">
      <c r="B18" s="1">
        <v>2018</v>
      </c>
      <c r="C18" s="48">
        <f>10*1000</f>
        <v>10000</v>
      </c>
      <c r="D18" s="48">
        <f>12*1000</f>
        <v>12000</v>
      </c>
      <c r="E18" s="48">
        <f>12*1000</f>
        <v>12000</v>
      </c>
      <c r="F18" s="48">
        <f>8*1000</f>
        <v>8000</v>
      </c>
      <c r="G18" s="48">
        <f>19*1000</f>
        <v>19000</v>
      </c>
      <c r="H18" s="48">
        <f>15*1000</f>
        <v>15000</v>
      </c>
      <c r="I18" s="48">
        <f>12*1000</f>
        <v>12000</v>
      </c>
      <c r="J18" s="48">
        <f>18*1000</f>
        <v>18000</v>
      </c>
      <c r="K18" s="48">
        <f>27*1000</f>
        <v>27000</v>
      </c>
      <c r="L18" s="48">
        <f>16*1000</f>
        <v>16000</v>
      </c>
      <c r="M18" s="48">
        <f>8*1000</f>
        <v>8000</v>
      </c>
      <c r="N18" s="48">
        <f>8*1000</f>
        <v>8000</v>
      </c>
      <c r="O18" s="48">
        <f t="shared" si="3"/>
        <v>165000</v>
      </c>
      <c r="Q18" s="70">
        <f>SUM(C19:I19)</f>
        <v>73000</v>
      </c>
    </row>
    <row r="19" spans="1:17" x14ac:dyDescent="0.25">
      <c r="B19" s="1">
        <v>2019</v>
      </c>
      <c r="C19" s="48">
        <f>6*1000</f>
        <v>6000</v>
      </c>
      <c r="D19" s="48">
        <f>12*1000</f>
        <v>12000</v>
      </c>
      <c r="E19" s="48">
        <f>12*1000</f>
        <v>12000</v>
      </c>
      <c r="F19" s="48">
        <f>6*1000</f>
        <v>6000</v>
      </c>
      <c r="G19" s="48">
        <f>17*1000</f>
        <v>17000</v>
      </c>
      <c r="H19" s="48">
        <f>13*1000</f>
        <v>13000</v>
      </c>
      <c r="I19" s="48">
        <f>7*1000</f>
        <v>7000</v>
      </c>
      <c r="J19" s="48">
        <f>9*1000</f>
        <v>9000</v>
      </c>
      <c r="K19" s="48">
        <f>9*1000</f>
        <v>9000</v>
      </c>
      <c r="L19" s="48">
        <f>14*1000</f>
        <v>14000</v>
      </c>
      <c r="M19" s="48">
        <f>10*1000</f>
        <v>10000</v>
      </c>
      <c r="N19" s="48">
        <f>10*1000</f>
        <v>10000</v>
      </c>
      <c r="O19" s="48">
        <f t="shared" si="3"/>
        <v>125000</v>
      </c>
    </row>
    <row r="20" spans="1:17" x14ac:dyDescent="0.25">
      <c r="B20" s="1" t="s">
        <v>14</v>
      </c>
      <c r="C20" s="48" t="s">
        <v>14</v>
      </c>
      <c r="D20" s="48" t="s">
        <v>14</v>
      </c>
      <c r="E20" s="48" t="s">
        <v>14</v>
      </c>
      <c r="F20" s="48" t="s">
        <v>14</v>
      </c>
      <c r="G20" s="48" t="s">
        <v>14</v>
      </c>
      <c r="H20" s="48" t="s">
        <v>14</v>
      </c>
      <c r="I20" s="48" t="s">
        <v>14</v>
      </c>
      <c r="J20" s="48" t="s">
        <v>14</v>
      </c>
      <c r="K20" s="48" t="s">
        <v>14</v>
      </c>
      <c r="L20" s="48" t="s">
        <v>14</v>
      </c>
      <c r="M20" s="48" t="s">
        <v>14</v>
      </c>
      <c r="N20" s="48" t="s">
        <v>14</v>
      </c>
      <c r="O20" s="48" t="s">
        <v>14</v>
      </c>
    </row>
    <row r="21" spans="1:17" x14ac:dyDescent="0.25">
      <c r="B21" s="1">
        <v>2020</v>
      </c>
      <c r="C21" s="48">
        <f>13*1000</f>
        <v>13000</v>
      </c>
      <c r="D21" s="48">
        <f>12*1000</f>
        <v>12000</v>
      </c>
      <c r="E21" s="48">
        <f>8*1000</f>
        <v>8000</v>
      </c>
      <c r="F21" s="48">
        <f>5*1000</f>
        <v>5000</v>
      </c>
      <c r="G21" s="48">
        <f>13*1000</f>
        <v>13000</v>
      </c>
      <c r="H21" s="48">
        <f>6*1000</f>
        <v>6000</v>
      </c>
      <c r="I21" s="48">
        <f>9*1000</f>
        <v>9000</v>
      </c>
      <c r="J21" s="48">
        <f t="shared" ref="J21:N21" si="4">0*1000</f>
        <v>0</v>
      </c>
      <c r="K21" s="48">
        <f t="shared" si="4"/>
        <v>0</v>
      </c>
      <c r="L21" s="48">
        <f t="shared" si="4"/>
        <v>0</v>
      </c>
      <c r="M21" s="48">
        <f t="shared" si="4"/>
        <v>0</v>
      </c>
      <c r="N21" s="48">
        <f t="shared" si="4"/>
        <v>0</v>
      </c>
      <c r="O21" s="48">
        <f t="shared" ref="O21" si="5">SUM(C21:N21)</f>
        <v>66000</v>
      </c>
    </row>
    <row r="22" spans="1:17" x14ac:dyDescent="0.25">
      <c r="B22" s="1" t="s">
        <v>14</v>
      </c>
      <c r="C22" s="48" t="s">
        <v>14</v>
      </c>
      <c r="D22" s="48" t="s">
        <v>14</v>
      </c>
      <c r="E22" s="48" t="s">
        <v>14</v>
      </c>
      <c r="F22" s="48" t="s">
        <v>14</v>
      </c>
      <c r="G22" s="48" t="s">
        <v>14</v>
      </c>
      <c r="H22" s="48" t="s">
        <v>14</v>
      </c>
      <c r="I22" s="48" t="s">
        <v>14</v>
      </c>
      <c r="J22" s="48" t="s">
        <v>14</v>
      </c>
      <c r="K22" s="48" t="s">
        <v>14</v>
      </c>
      <c r="L22" s="48" t="s">
        <v>14</v>
      </c>
      <c r="M22" s="48" t="s">
        <v>14</v>
      </c>
      <c r="N22" s="48" t="s">
        <v>14</v>
      </c>
      <c r="O22" s="48" t="s">
        <v>14</v>
      </c>
    </row>
    <row r="23" spans="1:17" x14ac:dyDescent="0.25">
      <c r="B23" s="13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"/>
      <c r="Q23" s="63" t="s">
        <v>138</v>
      </c>
    </row>
    <row r="24" spans="1:17" x14ac:dyDescent="0.25">
      <c r="A24" s="38" t="s">
        <v>45</v>
      </c>
      <c r="B24" s="5" t="s">
        <v>23</v>
      </c>
      <c r="C24" s="50" t="s">
        <v>24</v>
      </c>
      <c r="D24" s="50" t="s">
        <v>25</v>
      </c>
      <c r="E24" s="50" t="s">
        <v>26</v>
      </c>
      <c r="F24" s="50" t="s">
        <v>27</v>
      </c>
      <c r="G24" s="50" t="s">
        <v>28</v>
      </c>
      <c r="H24" s="50" t="s">
        <v>29</v>
      </c>
      <c r="I24" s="50" t="s">
        <v>30</v>
      </c>
      <c r="J24" s="50" t="s">
        <v>31</v>
      </c>
      <c r="K24" s="50" t="s">
        <v>32</v>
      </c>
      <c r="L24" s="50" t="s">
        <v>109</v>
      </c>
      <c r="M24" s="50" t="s">
        <v>110</v>
      </c>
      <c r="N24" s="50" t="s">
        <v>111</v>
      </c>
      <c r="O24" s="50" t="s">
        <v>21</v>
      </c>
      <c r="Q24" s="69" t="s">
        <v>23</v>
      </c>
    </row>
    <row r="25" spans="1:17" x14ac:dyDescent="0.25">
      <c r="B25" s="1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"/>
    </row>
    <row r="26" spans="1:17" x14ac:dyDescent="0.25">
      <c r="A26" s="26" t="s">
        <v>113</v>
      </c>
      <c r="B26" s="1">
        <v>2017</v>
      </c>
      <c r="C26" s="48">
        <f>7*1000</f>
        <v>7000</v>
      </c>
      <c r="D26" s="48">
        <f>6*1000</f>
        <v>6000</v>
      </c>
      <c r="E26" s="48">
        <f>5*1000</f>
        <v>5000</v>
      </c>
      <c r="F26" s="48">
        <f>8*1000</f>
        <v>8000</v>
      </c>
      <c r="G26" s="48">
        <f>5*1000</f>
        <v>5000</v>
      </c>
      <c r="H26" s="48">
        <f>4*1000</f>
        <v>4000</v>
      </c>
      <c r="I26" s="48">
        <f>5*1000</f>
        <v>5000</v>
      </c>
      <c r="J26" s="48">
        <f>0*1000</f>
        <v>0</v>
      </c>
      <c r="K26" s="48">
        <f>1*1000</f>
        <v>1000</v>
      </c>
      <c r="L26" s="48">
        <f>1*1000</f>
        <v>1000</v>
      </c>
      <c r="M26" s="48">
        <f>3*1000</f>
        <v>3000</v>
      </c>
      <c r="N26" s="48">
        <f>1*1000</f>
        <v>1000</v>
      </c>
      <c r="O26" s="48">
        <f t="shared" ref="O26:O28" si="6">SUM(C26:N26)</f>
        <v>46000</v>
      </c>
    </row>
    <row r="27" spans="1:17" x14ac:dyDescent="0.25">
      <c r="B27" s="1">
        <v>2018</v>
      </c>
      <c r="C27" s="48">
        <f>3*1000</f>
        <v>3000</v>
      </c>
      <c r="D27" s="48">
        <f>10*1000</f>
        <v>10000</v>
      </c>
      <c r="E27" s="48">
        <f>23*1000</f>
        <v>23000</v>
      </c>
      <c r="F27" s="48">
        <f>7*1000</f>
        <v>7000</v>
      </c>
      <c r="G27" s="48">
        <f>2*1000</f>
        <v>2000</v>
      </c>
      <c r="H27" s="48">
        <f>6*1000</f>
        <v>6000</v>
      </c>
      <c r="I27" s="48">
        <f>1*1000</f>
        <v>1000</v>
      </c>
      <c r="J27" s="48">
        <f>4*1000</f>
        <v>4000</v>
      </c>
      <c r="K27" s="48">
        <f>0*1000</f>
        <v>0</v>
      </c>
      <c r="L27" s="48">
        <f>2*1000</f>
        <v>2000</v>
      </c>
      <c r="M27" s="48">
        <f>2*1000</f>
        <v>2000</v>
      </c>
      <c r="N27" s="48">
        <f>1*1000</f>
        <v>1000</v>
      </c>
      <c r="O27" s="48">
        <f t="shared" si="6"/>
        <v>61000</v>
      </c>
      <c r="Q27" s="70">
        <f>SUM(C28:I28)</f>
        <v>41000</v>
      </c>
    </row>
    <row r="28" spans="1:17" x14ac:dyDescent="0.25">
      <c r="B28" s="1">
        <v>2019</v>
      </c>
      <c r="C28" s="48">
        <f>12*1000</f>
        <v>12000</v>
      </c>
      <c r="D28" s="48">
        <f>5*1000</f>
        <v>5000</v>
      </c>
      <c r="E28" s="48">
        <f>10*1000</f>
        <v>10000</v>
      </c>
      <c r="F28" s="48">
        <f>5*1000</f>
        <v>5000</v>
      </c>
      <c r="G28" s="48">
        <f>2*1000</f>
        <v>2000</v>
      </c>
      <c r="H28" s="48">
        <f>6*1000</f>
        <v>6000</v>
      </c>
      <c r="I28" s="48">
        <f>1*1000</f>
        <v>1000</v>
      </c>
      <c r="J28" s="48">
        <f>0*1000</f>
        <v>0</v>
      </c>
      <c r="K28" s="48">
        <f>5*1000</f>
        <v>5000</v>
      </c>
      <c r="L28" s="48">
        <v>0</v>
      </c>
      <c r="M28" s="48">
        <f>2*1000</f>
        <v>2000</v>
      </c>
      <c r="N28" s="48">
        <f>1*1000</f>
        <v>1000</v>
      </c>
      <c r="O28" s="48">
        <f t="shared" si="6"/>
        <v>49000</v>
      </c>
    </row>
    <row r="29" spans="1:17" x14ac:dyDescent="0.25">
      <c r="B29" s="1" t="s">
        <v>14</v>
      </c>
      <c r="C29" s="48" t="s">
        <v>14</v>
      </c>
      <c r="D29" s="48" t="s">
        <v>14</v>
      </c>
      <c r="E29" s="48" t="s">
        <v>14</v>
      </c>
      <c r="F29" s="48" t="s">
        <v>14</v>
      </c>
      <c r="G29" s="48" t="s">
        <v>14</v>
      </c>
      <c r="H29" s="48" t="s">
        <v>14</v>
      </c>
      <c r="I29" s="48" t="s">
        <v>14</v>
      </c>
      <c r="J29" s="48" t="s">
        <v>14</v>
      </c>
      <c r="K29" s="48" t="s">
        <v>14</v>
      </c>
      <c r="L29" s="48" t="s">
        <v>14</v>
      </c>
      <c r="M29" s="48" t="s">
        <v>14</v>
      </c>
      <c r="N29" s="48" t="s">
        <v>14</v>
      </c>
      <c r="O29" s="48" t="s">
        <v>14</v>
      </c>
    </row>
    <row r="30" spans="1:17" x14ac:dyDescent="0.25">
      <c r="B30" s="1">
        <v>2020</v>
      </c>
      <c r="C30" s="48">
        <f>2*1000</f>
        <v>2000</v>
      </c>
      <c r="D30" s="48">
        <f>7*1000</f>
        <v>7000</v>
      </c>
      <c r="E30" s="48">
        <f>6*1000</f>
        <v>6000</v>
      </c>
      <c r="F30" s="48">
        <f>2*1000</f>
        <v>2000</v>
      </c>
      <c r="G30" s="48">
        <f>1*1000</f>
        <v>1000</v>
      </c>
      <c r="H30" s="48">
        <f>3*1000</f>
        <v>3000</v>
      </c>
      <c r="I30" s="48">
        <f>1*1000</f>
        <v>1000</v>
      </c>
      <c r="J30" s="48">
        <f t="shared" ref="J30:N30" si="7">0*1000</f>
        <v>0</v>
      </c>
      <c r="K30" s="48">
        <f t="shared" si="7"/>
        <v>0</v>
      </c>
      <c r="L30" s="48">
        <f t="shared" si="7"/>
        <v>0</v>
      </c>
      <c r="M30" s="48">
        <f t="shared" si="7"/>
        <v>0</v>
      </c>
      <c r="N30" s="48">
        <f t="shared" si="7"/>
        <v>0</v>
      </c>
      <c r="O30" s="48">
        <f t="shared" ref="O30" si="8">SUM(C30:N30)</f>
        <v>22000</v>
      </c>
    </row>
    <row r="31" spans="1:17" x14ac:dyDescent="0.25">
      <c r="B31" s="1" t="s">
        <v>14</v>
      </c>
      <c r="C31" s="48" t="s">
        <v>14</v>
      </c>
      <c r="D31" s="48" t="s">
        <v>14</v>
      </c>
      <c r="E31" s="48" t="s">
        <v>14</v>
      </c>
      <c r="F31" s="48" t="s">
        <v>14</v>
      </c>
      <c r="G31" s="48" t="s">
        <v>14</v>
      </c>
      <c r="H31" s="48" t="s">
        <v>14</v>
      </c>
      <c r="I31" s="48" t="s">
        <v>14</v>
      </c>
      <c r="J31" s="48" t="s">
        <v>14</v>
      </c>
      <c r="K31" s="48" t="s">
        <v>14</v>
      </c>
      <c r="L31" s="48" t="s">
        <v>14</v>
      </c>
      <c r="M31" s="48" t="s">
        <v>14</v>
      </c>
      <c r="N31" s="48" t="s">
        <v>14</v>
      </c>
      <c r="O31" s="48" t="s">
        <v>14</v>
      </c>
    </row>
    <row r="32" spans="1:17" x14ac:dyDescent="0.25">
      <c r="B32" s="13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1"/>
      <c r="Q32" s="63" t="s">
        <v>138</v>
      </c>
    </row>
    <row r="33" spans="1:17" x14ac:dyDescent="0.25">
      <c r="A33" s="38" t="s">
        <v>45</v>
      </c>
      <c r="B33" s="5" t="s">
        <v>23</v>
      </c>
      <c r="C33" s="50" t="s">
        <v>24</v>
      </c>
      <c r="D33" s="50" t="s">
        <v>25</v>
      </c>
      <c r="E33" s="50" t="s">
        <v>26</v>
      </c>
      <c r="F33" s="50" t="s">
        <v>27</v>
      </c>
      <c r="G33" s="50" t="s">
        <v>28</v>
      </c>
      <c r="H33" s="50" t="s">
        <v>29</v>
      </c>
      <c r="I33" s="50" t="s">
        <v>30</v>
      </c>
      <c r="J33" s="50" t="s">
        <v>31</v>
      </c>
      <c r="K33" s="50" t="s">
        <v>32</v>
      </c>
      <c r="L33" s="50" t="s">
        <v>109</v>
      </c>
      <c r="M33" s="50" t="s">
        <v>110</v>
      </c>
      <c r="N33" s="50" t="s">
        <v>111</v>
      </c>
      <c r="O33" s="50" t="s">
        <v>21</v>
      </c>
      <c r="Q33" s="69" t="s">
        <v>23</v>
      </c>
    </row>
    <row r="34" spans="1:17" x14ac:dyDescent="0.25">
      <c r="B34" s="1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1"/>
    </row>
    <row r="35" spans="1:17" x14ac:dyDescent="0.25">
      <c r="A35" s="26" t="s">
        <v>112</v>
      </c>
      <c r="B35" s="1">
        <v>2017</v>
      </c>
      <c r="C35" s="48">
        <f>1*1000</f>
        <v>1000</v>
      </c>
      <c r="D35" s="48">
        <f>1*1000</f>
        <v>1000</v>
      </c>
      <c r="E35" s="48">
        <f>0*1000</f>
        <v>0</v>
      </c>
      <c r="F35" s="48">
        <f>2*1000</f>
        <v>2000</v>
      </c>
      <c r="G35" s="48">
        <f>0*1000</f>
        <v>0</v>
      </c>
      <c r="H35" s="48">
        <f>1*1000</f>
        <v>1000</v>
      </c>
      <c r="I35" s="48">
        <f>1*1000</f>
        <v>1000</v>
      </c>
      <c r="J35" s="48">
        <f>1*1000</f>
        <v>1000</v>
      </c>
      <c r="K35" s="48">
        <f>1*1000</f>
        <v>1000</v>
      </c>
      <c r="L35" s="48">
        <f>1*1000</f>
        <v>1000</v>
      </c>
      <c r="M35" s="48">
        <f>3*1000</f>
        <v>3000</v>
      </c>
      <c r="N35" s="48">
        <f>1*1000</f>
        <v>1000</v>
      </c>
      <c r="O35" s="48">
        <f>SUM(C35:N35)</f>
        <v>13000</v>
      </c>
    </row>
    <row r="36" spans="1:17" x14ac:dyDescent="0.25">
      <c r="A36" s="26" t="s">
        <v>127</v>
      </c>
      <c r="B36" s="1">
        <v>2018</v>
      </c>
      <c r="C36" s="48">
        <f t="shared" ref="C36:H36" si="9">1*1000</f>
        <v>1000</v>
      </c>
      <c r="D36" s="48">
        <f t="shared" si="9"/>
        <v>1000</v>
      </c>
      <c r="E36" s="48">
        <f t="shared" si="9"/>
        <v>1000</v>
      </c>
      <c r="F36" s="48">
        <f t="shared" si="9"/>
        <v>1000</v>
      </c>
      <c r="G36" s="48">
        <f t="shared" si="9"/>
        <v>1000</v>
      </c>
      <c r="H36" s="48">
        <f t="shared" si="9"/>
        <v>1000</v>
      </c>
      <c r="I36" s="48">
        <f>1*1000</f>
        <v>1000</v>
      </c>
      <c r="J36" s="48">
        <f>0*1000</f>
        <v>0</v>
      </c>
      <c r="K36" s="48">
        <f>12*1000</f>
        <v>12000</v>
      </c>
      <c r="L36" s="48">
        <f>0*1000</f>
        <v>0</v>
      </c>
      <c r="M36" s="48">
        <f>1*1000</f>
        <v>1000</v>
      </c>
      <c r="N36" s="48">
        <f>9*1000</f>
        <v>9000</v>
      </c>
      <c r="O36" s="48">
        <f t="shared" ref="O36:O37" si="10">SUM(C36:N36)</f>
        <v>29000</v>
      </c>
      <c r="Q36" s="70">
        <f>SUM(C37:I37)</f>
        <v>138000</v>
      </c>
    </row>
    <row r="37" spans="1:17" x14ac:dyDescent="0.25">
      <c r="B37" s="1">
        <v>2019</v>
      </c>
      <c r="C37" s="48">
        <f>2*1000</f>
        <v>2000</v>
      </c>
      <c r="D37" s="48">
        <f>133*1000</f>
        <v>133000</v>
      </c>
      <c r="E37" s="48">
        <f>1*1000</f>
        <v>1000</v>
      </c>
      <c r="F37" s="48">
        <f>1*1000</f>
        <v>1000</v>
      </c>
      <c r="G37" s="48">
        <f>0*1000</f>
        <v>0</v>
      </c>
      <c r="H37" s="48">
        <f>1*1000</f>
        <v>1000</v>
      </c>
      <c r="I37" s="48">
        <f>0*1000</f>
        <v>0</v>
      </c>
      <c r="J37" s="48">
        <f>1*1000</f>
        <v>1000</v>
      </c>
      <c r="K37" s="48">
        <f>1*1000</f>
        <v>1000</v>
      </c>
      <c r="L37" s="48">
        <f>0*1000</f>
        <v>0</v>
      </c>
      <c r="M37" s="48">
        <f>1*1000</f>
        <v>1000</v>
      </c>
      <c r="N37" s="48">
        <f>3*1000</f>
        <v>3000</v>
      </c>
      <c r="O37" s="48">
        <f t="shared" si="10"/>
        <v>144000</v>
      </c>
    </row>
    <row r="38" spans="1:17" x14ac:dyDescent="0.25">
      <c r="B38" s="1" t="s">
        <v>14</v>
      </c>
      <c r="C38" s="48" t="s">
        <v>14</v>
      </c>
      <c r="D38" s="48" t="s">
        <v>14</v>
      </c>
      <c r="E38" s="48" t="s">
        <v>14</v>
      </c>
      <c r="F38" s="48" t="s">
        <v>14</v>
      </c>
      <c r="G38" s="48" t="s">
        <v>14</v>
      </c>
      <c r="H38" s="48" t="s">
        <v>14</v>
      </c>
      <c r="I38" s="48" t="s">
        <v>14</v>
      </c>
      <c r="J38" s="48" t="s">
        <v>14</v>
      </c>
      <c r="K38" s="48" t="s">
        <v>14</v>
      </c>
      <c r="L38" s="48" t="s">
        <v>14</v>
      </c>
      <c r="M38" s="48" t="s">
        <v>14</v>
      </c>
      <c r="N38" s="48" t="s">
        <v>14</v>
      </c>
      <c r="O38" s="48" t="s">
        <v>14</v>
      </c>
    </row>
    <row r="39" spans="1:17" x14ac:dyDescent="0.25">
      <c r="B39" s="1">
        <v>2020</v>
      </c>
      <c r="C39" s="48">
        <f>1*1000</f>
        <v>1000</v>
      </c>
      <c r="D39" s="48">
        <f>1*1000</f>
        <v>1000</v>
      </c>
      <c r="E39" s="48">
        <f>68*1000</f>
        <v>68000</v>
      </c>
      <c r="F39" s="48">
        <f t="shared" ref="F39:N39" si="11">0*1000</f>
        <v>0</v>
      </c>
      <c r="G39" s="48">
        <f>1*1000</f>
        <v>1000</v>
      </c>
      <c r="H39" s="48">
        <f>1*1000</f>
        <v>1000</v>
      </c>
      <c r="I39" s="48">
        <f>46*1000</f>
        <v>46000</v>
      </c>
      <c r="J39" s="48">
        <f t="shared" si="11"/>
        <v>0</v>
      </c>
      <c r="K39" s="48">
        <f t="shared" si="11"/>
        <v>0</v>
      </c>
      <c r="L39" s="48">
        <f t="shared" si="11"/>
        <v>0</v>
      </c>
      <c r="M39" s="48">
        <f t="shared" si="11"/>
        <v>0</v>
      </c>
      <c r="N39" s="48">
        <f t="shared" si="11"/>
        <v>0</v>
      </c>
      <c r="O39" s="48">
        <f t="shared" ref="O39" si="12">SUM(C39:N39)</f>
        <v>118000</v>
      </c>
    </row>
    <row r="40" spans="1:17" x14ac:dyDescent="0.25">
      <c r="B40" s="9" t="s">
        <v>14</v>
      </c>
      <c r="C40" s="48"/>
      <c r="D40" s="49" t="s">
        <v>14</v>
      </c>
      <c r="E40" s="48"/>
      <c r="F40" s="49" t="s">
        <v>14</v>
      </c>
      <c r="G40" s="48"/>
      <c r="I40" s="48"/>
      <c r="J40" s="48"/>
      <c r="K40" s="48"/>
      <c r="L40" s="48"/>
      <c r="M40" s="48"/>
      <c r="N40" s="48"/>
      <c r="O40" s="1"/>
    </row>
    <row r="41" spans="1:17" x14ac:dyDescent="0.25">
      <c r="B41" s="13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1"/>
      <c r="Q41" s="63" t="s">
        <v>138</v>
      </c>
    </row>
    <row r="42" spans="1:17" x14ac:dyDescent="0.25">
      <c r="A42" s="38" t="s">
        <v>45</v>
      </c>
      <c r="B42" s="5" t="s">
        <v>23</v>
      </c>
      <c r="C42" s="50" t="s">
        <v>24</v>
      </c>
      <c r="D42" s="50" t="s">
        <v>25</v>
      </c>
      <c r="E42" s="50" t="s">
        <v>26</v>
      </c>
      <c r="F42" s="50" t="s">
        <v>27</v>
      </c>
      <c r="G42" s="50" t="s">
        <v>28</v>
      </c>
      <c r="H42" s="50" t="s">
        <v>29</v>
      </c>
      <c r="I42" s="50" t="s">
        <v>30</v>
      </c>
      <c r="J42" s="50" t="s">
        <v>31</v>
      </c>
      <c r="K42" s="50" t="s">
        <v>32</v>
      </c>
      <c r="L42" s="50" t="s">
        <v>109</v>
      </c>
      <c r="M42" s="50" t="s">
        <v>110</v>
      </c>
      <c r="N42" s="50" t="s">
        <v>111</v>
      </c>
      <c r="O42" s="50" t="s">
        <v>21</v>
      </c>
      <c r="Q42" s="69" t="s">
        <v>23</v>
      </c>
    </row>
    <row r="43" spans="1:17" x14ac:dyDescent="0.25">
      <c r="B43" s="1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1"/>
    </row>
    <row r="44" spans="1:17" x14ac:dyDescent="0.25">
      <c r="A44" s="26" t="s">
        <v>63</v>
      </c>
      <c r="B44" s="1">
        <v>2017</v>
      </c>
      <c r="C44" s="48">
        <f>0*1000</f>
        <v>0</v>
      </c>
      <c r="D44" s="48">
        <f>1*1000</f>
        <v>1000</v>
      </c>
      <c r="E44" s="48">
        <f>0*1000</f>
        <v>0</v>
      </c>
      <c r="F44" s="48">
        <f>1*1000</f>
        <v>1000</v>
      </c>
      <c r="G44" s="48">
        <f>1*1000</f>
        <v>1000</v>
      </c>
      <c r="H44" s="48">
        <f>1*1000</f>
        <v>1000</v>
      </c>
      <c r="I44" s="48">
        <f>0*1000</f>
        <v>0</v>
      </c>
      <c r="J44" s="48">
        <f>1*1000</f>
        <v>1000</v>
      </c>
      <c r="K44" s="48">
        <f>1*1000</f>
        <v>1000</v>
      </c>
      <c r="L44" s="48">
        <f>1*1000</f>
        <v>1000</v>
      </c>
      <c r="M44" s="48">
        <f>1*1000</f>
        <v>1000</v>
      </c>
      <c r="N44" s="48">
        <f>1*1000</f>
        <v>1000</v>
      </c>
      <c r="O44" s="48">
        <f>SUM(C44:N44)</f>
        <v>9000</v>
      </c>
    </row>
    <row r="45" spans="1:17" x14ac:dyDescent="0.25">
      <c r="B45" s="1">
        <v>2018</v>
      </c>
      <c r="C45" s="48">
        <f>0*1000</f>
        <v>0</v>
      </c>
      <c r="D45" s="48">
        <f>1*1000</f>
        <v>1000</v>
      </c>
      <c r="E45" s="48">
        <f>0*1000</f>
        <v>0</v>
      </c>
      <c r="F45" s="48">
        <f>1*1000</f>
        <v>1000</v>
      </c>
      <c r="G45" s="48">
        <f>0*1000</f>
        <v>0</v>
      </c>
      <c r="H45" s="48">
        <f>0*1000</f>
        <v>0</v>
      </c>
      <c r="I45" s="48">
        <f>1*1000</f>
        <v>1000</v>
      </c>
      <c r="J45" s="48">
        <f>1*1000</f>
        <v>1000</v>
      </c>
      <c r="K45" s="48">
        <f>2*1000</f>
        <v>2000</v>
      </c>
      <c r="L45" s="48">
        <f>1*1000</f>
        <v>1000</v>
      </c>
      <c r="M45" s="48">
        <f>8*1000</f>
        <v>8000</v>
      </c>
      <c r="N45" s="48">
        <f>0*1000</f>
        <v>0</v>
      </c>
      <c r="O45" s="48">
        <f t="shared" ref="O45:O46" si="13">SUM(C45:N45)</f>
        <v>15000</v>
      </c>
      <c r="Q45" s="70">
        <f>SUM(C46:I46)</f>
        <v>8000</v>
      </c>
    </row>
    <row r="46" spans="1:17" x14ac:dyDescent="0.25">
      <c r="B46" s="1">
        <v>2019</v>
      </c>
      <c r="C46" s="48">
        <f>0*1000</f>
        <v>0</v>
      </c>
      <c r="D46" s="48">
        <f>2*1000</f>
        <v>2000</v>
      </c>
      <c r="E46" s="48">
        <f>2*1000</f>
        <v>2000</v>
      </c>
      <c r="F46" s="48">
        <f t="shared" ref="F46:M46" si="14">1*1000</f>
        <v>1000</v>
      </c>
      <c r="G46" s="48">
        <f t="shared" si="14"/>
        <v>1000</v>
      </c>
      <c r="H46" s="48">
        <f t="shared" si="14"/>
        <v>1000</v>
      </c>
      <c r="I46" s="48">
        <f t="shared" si="14"/>
        <v>1000</v>
      </c>
      <c r="J46" s="48">
        <f t="shared" si="14"/>
        <v>1000</v>
      </c>
      <c r="K46" s="48">
        <f t="shared" si="14"/>
        <v>1000</v>
      </c>
      <c r="L46" s="48">
        <f t="shared" si="14"/>
        <v>1000</v>
      </c>
      <c r="M46" s="48">
        <f t="shared" si="14"/>
        <v>1000</v>
      </c>
      <c r="N46" s="48">
        <f>1*1000</f>
        <v>1000</v>
      </c>
      <c r="O46" s="48">
        <f t="shared" si="13"/>
        <v>13000</v>
      </c>
    </row>
    <row r="47" spans="1:17" x14ac:dyDescent="0.25">
      <c r="B47" s="1" t="s">
        <v>14</v>
      </c>
      <c r="C47" s="48" t="s">
        <v>14</v>
      </c>
      <c r="D47" s="48" t="s">
        <v>14</v>
      </c>
      <c r="E47" s="48" t="s">
        <v>14</v>
      </c>
      <c r="F47" s="48" t="s">
        <v>14</v>
      </c>
      <c r="G47" s="48" t="s">
        <v>14</v>
      </c>
      <c r="H47" s="48" t="s">
        <v>14</v>
      </c>
      <c r="I47" s="48" t="s">
        <v>14</v>
      </c>
      <c r="J47" s="48" t="s">
        <v>14</v>
      </c>
      <c r="K47" s="48" t="s">
        <v>14</v>
      </c>
      <c r="L47" s="48" t="s">
        <v>14</v>
      </c>
      <c r="M47" s="48" t="s">
        <v>14</v>
      </c>
      <c r="N47" s="48" t="s">
        <v>14</v>
      </c>
      <c r="O47" s="48" t="s">
        <v>14</v>
      </c>
    </row>
    <row r="48" spans="1:17" x14ac:dyDescent="0.25">
      <c r="B48" s="1">
        <v>2020</v>
      </c>
      <c r="C48" s="48">
        <f>1*1000</f>
        <v>1000</v>
      </c>
      <c r="D48" s="48">
        <f>1*1000</f>
        <v>1000</v>
      </c>
      <c r="E48" s="48">
        <f t="shared" ref="E48:N48" si="15">0*1000</f>
        <v>0</v>
      </c>
      <c r="F48" s="48">
        <f t="shared" si="15"/>
        <v>0</v>
      </c>
      <c r="G48" s="48">
        <f>2*1000</f>
        <v>2000</v>
      </c>
      <c r="H48" s="48">
        <f>0*1000</f>
        <v>0</v>
      </c>
      <c r="I48" s="48">
        <f>78*1000</f>
        <v>78000</v>
      </c>
      <c r="J48" s="48">
        <f t="shared" si="15"/>
        <v>0</v>
      </c>
      <c r="K48" s="48">
        <f t="shared" si="15"/>
        <v>0</v>
      </c>
      <c r="L48" s="48">
        <f t="shared" si="15"/>
        <v>0</v>
      </c>
      <c r="M48" s="48">
        <f t="shared" si="15"/>
        <v>0</v>
      </c>
      <c r="N48" s="48">
        <f t="shared" si="15"/>
        <v>0</v>
      </c>
      <c r="O48" s="48">
        <f t="shared" ref="O48" si="16">SUM(C48:N48)</f>
        <v>82000</v>
      </c>
    </row>
    <row r="49" spans="1:17" x14ac:dyDescent="0.25">
      <c r="B49" s="1" t="s">
        <v>14</v>
      </c>
      <c r="C49" s="48" t="s">
        <v>14</v>
      </c>
      <c r="D49" s="48" t="s">
        <v>14</v>
      </c>
      <c r="E49" s="48" t="s">
        <v>14</v>
      </c>
      <c r="F49" s="48" t="s">
        <v>14</v>
      </c>
      <c r="G49" s="48" t="s">
        <v>14</v>
      </c>
      <c r="H49" s="48" t="s">
        <v>14</v>
      </c>
      <c r="I49" s="48" t="s">
        <v>14</v>
      </c>
      <c r="J49" s="48" t="s">
        <v>14</v>
      </c>
      <c r="K49" s="48" t="s">
        <v>14</v>
      </c>
      <c r="L49" s="48" t="s">
        <v>14</v>
      </c>
      <c r="M49" s="48" t="s">
        <v>14</v>
      </c>
      <c r="N49" s="48" t="s">
        <v>14</v>
      </c>
      <c r="O49" s="48" t="s">
        <v>14</v>
      </c>
    </row>
    <row r="50" spans="1:17" x14ac:dyDescent="0.25">
      <c r="B50" s="13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1"/>
      <c r="Q50" s="63" t="s">
        <v>138</v>
      </c>
    </row>
    <row r="51" spans="1:17" x14ac:dyDescent="0.25">
      <c r="A51" s="38" t="s">
        <v>45</v>
      </c>
      <c r="B51" s="5" t="s">
        <v>23</v>
      </c>
      <c r="C51" s="50" t="s">
        <v>24</v>
      </c>
      <c r="D51" s="50" t="s">
        <v>25</v>
      </c>
      <c r="E51" s="50" t="s">
        <v>26</v>
      </c>
      <c r="F51" s="50" t="s">
        <v>27</v>
      </c>
      <c r="G51" s="50" t="s">
        <v>28</v>
      </c>
      <c r="H51" s="50" t="s">
        <v>29</v>
      </c>
      <c r="I51" s="50" t="s">
        <v>30</v>
      </c>
      <c r="J51" s="50" t="s">
        <v>31</v>
      </c>
      <c r="K51" s="50" t="s">
        <v>32</v>
      </c>
      <c r="L51" s="50" t="s">
        <v>109</v>
      </c>
      <c r="M51" s="50" t="s">
        <v>110</v>
      </c>
      <c r="N51" s="50" t="s">
        <v>111</v>
      </c>
      <c r="O51" s="50" t="s">
        <v>21</v>
      </c>
      <c r="Q51" s="69" t="s">
        <v>23</v>
      </c>
    </row>
    <row r="52" spans="1:17" x14ac:dyDescent="0.25">
      <c r="B52" s="1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1"/>
    </row>
    <row r="53" spans="1:17" x14ac:dyDescent="0.25">
      <c r="A53" s="1" t="s">
        <v>128</v>
      </c>
      <c r="B53" s="1">
        <v>2017</v>
      </c>
      <c r="C53" s="48">
        <f>3*1000</f>
        <v>3000</v>
      </c>
      <c r="D53" s="48">
        <f>1*1000</f>
        <v>1000</v>
      </c>
      <c r="E53" s="48">
        <f>2*1000</f>
        <v>2000</v>
      </c>
      <c r="F53" s="48">
        <f>2*1000</f>
        <v>2000</v>
      </c>
      <c r="G53" s="48">
        <f>1*1000</f>
        <v>1000</v>
      </c>
      <c r="H53" s="48">
        <f>2*1000</f>
        <v>2000</v>
      </c>
      <c r="I53" s="48">
        <f>1*1000</f>
        <v>1000</v>
      </c>
      <c r="J53" s="48">
        <f>2*1000</f>
        <v>2000</v>
      </c>
      <c r="K53" s="48">
        <f>2*1000</f>
        <v>2000</v>
      </c>
      <c r="L53" s="48">
        <f>1*1000</f>
        <v>1000</v>
      </c>
      <c r="M53" s="48">
        <f>2*1000</f>
        <v>2000</v>
      </c>
      <c r="N53" s="48">
        <f>1*1000</f>
        <v>1000</v>
      </c>
      <c r="O53" s="48">
        <f>SUM(C53:N53)</f>
        <v>20000</v>
      </c>
    </row>
    <row r="54" spans="1:17" x14ac:dyDescent="0.25">
      <c r="B54" s="1">
        <v>2018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f t="shared" ref="O54:O55" si="17">SUM(C54:N54)</f>
        <v>0</v>
      </c>
      <c r="Q54" s="70">
        <f>SUM(C55:I55)</f>
        <v>0</v>
      </c>
    </row>
    <row r="55" spans="1:17" x14ac:dyDescent="0.25">
      <c r="B55" s="1">
        <v>2019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f t="shared" si="17"/>
        <v>0</v>
      </c>
    </row>
    <row r="56" spans="1:17" x14ac:dyDescent="0.25">
      <c r="B56" s="1" t="s">
        <v>14</v>
      </c>
      <c r="C56" s="48" t="s">
        <v>14</v>
      </c>
      <c r="D56" s="48" t="s">
        <v>14</v>
      </c>
      <c r="E56" s="48" t="s">
        <v>14</v>
      </c>
      <c r="F56" s="48" t="s">
        <v>14</v>
      </c>
      <c r="G56" s="48" t="s">
        <v>14</v>
      </c>
      <c r="H56" s="48" t="s">
        <v>14</v>
      </c>
      <c r="I56" s="48" t="s">
        <v>14</v>
      </c>
      <c r="J56" s="48" t="s">
        <v>14</v>
      </c>
      <c r="K56" s="48" t="s">
        <v>14</v>
      </c>
      <c r="L56" s="48" t="s">
        <v>14</v>
      </c>
      <c r="M56" s="48" t="s">
        <v>14</v>
      </c>
      <c r="N56" s="48" t="s">
        <v>14</v>
      </c>
      <c r="O56" s="48" t="s">
        <v>14</v>
      </c>
    </row>
    <row r="57" spans="1:17" x14ac:dyDescent="0.25">
      <c r="B57" s="1">
        <v>2020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f t="shared" ref="O57" si="18">SUM(C57:N57)</f>
        <v>0</v>
      </c>
    </row>
    <row r="58" spans="1:17" x14ac:dyDescent="0.25">
      <c r="B58" s="1" t="s">
        <v>14</v>
      </c>
      <c r="C58" s="48" t="s">
        <v>14</v>
      </c>
      <c r="D58" s="48" t="s">
        <v>14</v>
      </c>
      <c r="E58" s="48" t="s">
        <v>14</v>
      </c>
      <c r="F58" s="48" t="s">
        <v>14</v>
      </c>
      <c r="G58" s="48" t="s">
        <v>14</v>
      </c>
      <c r="H58" s="48" t="s">
        <v>14</v>
      </c>
      <c r="I58" s="48" t="s">
        <v>14</v>
      </c>
      <c r="J58" s="48" t="s">
        <v>14</v>
      </c>
      <c r="K58" s="48" t="s">
        <v>14</v>
      </c>
      <c r="L58" s="48" t="s">
        <v>14</v>
      </c>
      <c r="M58" s="48" t="s">
        <v>14</v>
      </c>
      <c r="N58" s="48" t="s">
        <v>14</v>
      </c>
      <c r="O58" s="48" t="s">
        <v>14</v>
      </c>
    </row>
    <row r="59" spans="1:17" x14ac:dyDescent="0.25">
      <c r="B59" s="13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1"/>
    </row>
    <row r="60" spans="1:17" x14ac:dyDescent="0.25">
      <c r="A60" s="38" t="s">
        <v>45</v>
      </c>
      <c r="B60" s="5" t="s">
        <v>23</v>
      </c>
      <c r="C60" s="50" t="s">
        <v>24</v>
      </c>
      <c r="D60" s="50" t="s">
        <v>25</v>
      </c>
      <c r="E60" s="50" t="s">
        <v>26</v>
      </c>
      <c r="F60" s="50" t="s">
        <v>27</v>
      </c>
      <c r="G60" s="50" t="s">
        <v>28</v>
      </c>
      <c r="H60" s="50" t="s">
        <v>29</v>
      </c>
      <c r="I60" s="50" t="s">
        <v>30</v>
      </c>
      <c r="J60" s="50" t="s">
        <v>31</v>
      </c>
      <c r="K60" s="50" t="s">
        <v>32</v>
      </c>
      <c r="L60" s="50" t="s">
        <v>109</v>
      </c>
      <c r="M60" s="50" t="s">
        <v>110</v>
      </c>
      <c r="N60" s="50" t="s">
        <v>111</v>
      </c>
      <c r="O60" s="50" t="s">
        <v>21</v>
      </c>
      <c r="Q60" s="63" t="s">
        <v>138</v>
      </c>
    </row>
    <row r="61" spans="1:17" x14ac:dyDescent="0.25">
      <c r="B61" s="1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1"/>
      <c r="Q61" s="69" t="s">
        <v>23</v>
      </c>
    </row>
    <row r="62" spans="1:17" x14ac:dyDescent="0.25">
      <c r="A62" s="1" t="s">
        <v>154</v>
      </c>
      <c r="B62" s="1">
        <v>2017</v>
      </c>
      <c r="C62" s="48">
        <f>0*1000</f>
        <v>0</v>
      </c>
      <c r="D62" s="48">
        <f>1*1000</f>
        <v>1000</v>
      </c>
      <c r="E62" s="48">
        <f>0*1000</f>
        <v>0</v>
      </c>
      <c r="F62" s="48">
        <f>1*1000</f>
        <v>1000</v>
      </c>
      <c r="G62" s="48">
        <f>1*1000</f>
        <v>1000</v>
      </c>
      <c r="H62" s="48">
        <f>0*1000</f>
        <v>0</v>
      </c>
      <c r="I62" s="48">
        <f>1*1000</f>
        <v>1000</v>
      </c>
      <c r="J62" s="48">
        <f>1*1000</f>
        <v>1000</v>
      </c>
      <c r="K62" s="48">
        <f>0*1000</f>
        <v>0</v>
      </c>
      <c r="L62" s="48">
        <f>1*1000</f>
        <v>1000</v>
      </c>
      <c r="M62" s="48">
        <f>0*1000</f>
        <v>0</v>
      </c>
      <c r="N62" s="48">
        <f>1*1000</f>
        <v>1000</v>
      </c>
      <c r="O62" s="48">
        <f>SUM(C62:N62)</f>
        <v>7000</v>
      </c>
    </row>
    <row r="63" spans="1:17" x14ac:dyDescent="0.25">
      <c r="B63" s="1">
        <v>2018</v>
      </c>
      <c r="C63" s="48">
        <f>1*1000</f>
        <v>1000</v>
      </c>
      <c r="D63" s="48">
        <f>0*1000</f>
        <v>0</v>
      </c>
      <c r="E63" s="48">
        <f>1*1000</f>
        <v>1000</v>
      </c>
      <c r="F63" s="48">
        <f>0*1000</f>
        <v>0</v>
      </c>
      <c r="G63" s="48">
        <f>1*1000</f>
        <v>1000</v>
      </c>
      <c r="H63" s="48">
        <f>0*1000</f>
        <v>0</v>
      </c>
      <c r="I63" s="48">
        <f>1*1000</f>
        <v>1000</v>
      </c>
      <c r="J63" s="48">
        <f>0*1000</f>
        <v>0</v>
      </c>
      <c r="K63" s="48">
        <f>1*1000</f>
        <v>1000</v>
      </c>
      <c r="L63" s="48">
        <f>1*1000</f>
        <v>1000</v>
      </c>
      <c r="M63" s="48">
        <f>0*1000</f>
        <v>0</v>
      </c>
      <c r="N63" s="48">
        <f>1*1000</f>
        <v>1000</v>
      </c>
      <c r="O63" s="48">
        <f t="shared" ref="O63:O64" si="19">SUM(C63:N63)</f>
        <v>7000</v>
      </c>
      <c r="Q63" s="70">
        <f>SUM(C64:I64)</f>
        <v>4000</v>
      </c>
    </row>
    <row r="64" spans="1:17" x14ac:dyDescent="0.25">
      <c r="B64" s="1">
        <v>2019</v>
      </c>
      <c r="C64" s="48">
        <f>0*1000</f>
        <v>0</v>
      </c>
      <c r="D64" s="48">
        <f>1*1000</f>
        <v>1000</v>
      </c>
      <c r="E64" s="48">
        <f>0*1000</f>
        <v>0</v>
      </c>
      <c r="F64" s="48">
        <f>1*1000</f>
        <v>1000</v>
      </c>
      <c r="G64" s="48">
        <f>1*1000</f>
        <v>1000</v>
      </c>
      <c r="H64" s="48">
        <f>1*1000</f>
        <v>1000</v>
      </c>
      <c r="I64" s="48">
        <f>0*1000</f>
        <v>0</v>
      </c>
      <c r="J64" s="48">
        <f>1*1000</f>
        <v>1000</v>
      </c>
      <c r="K64" s="48">
        <v>0</v>
      </c>
      <c r="L64" s="48">
        <f>1*1000</f>
        <v>1000</v>
      </c>
      <c r="M64" s="48">
        <f>1*1000</f>
        <v>1000</v>
      </c>
      <c r="N64" s="48">
        <f>0*1000</f>
        <v>0</v>
      </c>
      <c r="O64" s="48">
        <f t="shared" si="19"/>
        <v>7000</v>
      </c>
    </row>
    <row r="65" spans="1:17" x14ac:dyDescent="0.25">
      <c r="B65" s="1" t="s">
        <v>14</v>
      </c>
      <c r="C65" s="48" t="s">
        <v>14</v>
      </c>
      <c r="D65" s="48" t="s">
        <v>14</v>
      </c>
      <c r="E65" s="48" t="s">
        <v>14</v>
      </c>
      <c r="F65" s="48" t="s">
        <v>14</v>
      </c>
      <c r="G65" s="48" t="s">
        <v>14</v>
      </c>
      <c r="H65" s="48" t="s">
        <v>14</v>
      </c>
      <c r="I65" s="48" t="s">
        <v>14</v>
      </c>
      <c r="J65" s="48" t="s">
        <v>14</v>
      </c>
      <c r="K65" s="48" t="s">
        <v>14</v>
      </c>
      <c r="L65" s="48" t="s">
        <v>14</v>
      </c>
      <c r="M65" s="48" t="s">
        <v>14</v>
      </c>
      <c r="N65" s="48" t="s">
        <v>14</v>
      </c>
      <c r="O65" s="48" t="s">
        <v>14</v>
      </c>
    </row>
    <row r="66" spans="1:17" x14ac:dyDescent="0.25">
      <c r="B66" s="1">
        <v>2020</v>
      </c>
      <c r="C66" s="48">
        <f>1*1000</f>
        <v>1000</v>
      </c>
      <c r="D66" s="48">
        <f>0*1000</f>
        <v>0</v>
      </c>
      <c r="E66" s="48">
        <f>1*1000</f>
        <v>1000</v>
      </c>
      <c r="F66" s="48">
        <f t="shared" ref="F66:N66" si="20">0*1000</f>
        <v>0</v>
      </c>
      <c r="G66" s="48">
        <f t="shared" si="20"/>
        <v>0</v>
      </c>
      <c r="H66" s="48">
        <f t="shared" si="20"/>
        <v>0</v>
      </c>
      <c r="I66" s="48">
        <f t="shared" si="20"/>
        <v>0</v>
      </c>
      <c r="J66" s="48">
        <f t="shared" si="20"/>
        <v>0</v>
      </c>
      <c r="K66" s="48">
        <f t="shared" si="20"/>
        <v>0</v>
      </c>
      <c r="L66" s="48">
        <f t="shared" si="20"/>
        <v>0</v>
      </c>
      <c r="M66" s="48">
        <f t="shared" si="20"/>
        <v>0</v>
      </c>
      <c r="N66" s="48">
        <f t="shared" si="20"/>
        <v>0</v>
      </c>
      <c r="O66" s="48">
        <f t="shared" ref="O66" si="21">SUM(C66:N66)</f>
        <v>2000</v>
      </c>
    </row>
    <row r="67" spans="1:17" x14ac:dyDescent="0.25">
      <c r="B67" s="1" t="s">
        <v>14</v>
      </c>
      <c r="C67" s="48" t="s">
        <v>14</v>
      </c>
      <c r="D67" s="48" t="s">
        <v>14</v>
      </c>
      <c r="E67" s="48" t="s">
        <v>14</v>
      </c>
      <c r="F67" s="48" t="s">
        <v>14</v>
      </c>
      <c r="G67" s="48" t="s">
        <v>14</v>
      </c>
      <c r="H67" s="48" t="s">
        <v>14</v>
      </c>
      <c r="I67" s="48" t="s">
        <v>14</v>
      </c>
      <c r="J67" s="48" t="s">
        <v>14</v>
      </c>
      <c r="K67" s="48" t="s">
        <v>14</v>
      </c>
      <c r="L67" s="48" t="s">
        <v>14</v>
      </c>
      <c r="M67" s="48" t="s">
        <v>14</v>
      </c>
      <c r="N67" s="48" t="s">
        <v>14</v>
      </c>
      <c r="O67" s="48" t="s">
        <v>14</v>
      </c>
    </row>
    <row r="68" spans="1:17" x14ac:dyDescent="0.25">
      <c r="B68" s="13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1"/>
    </row>
    <row r="69" spans="1:17" x14ac:dyDescent="0.25">
      <c r="A69" s="38" t="s">
        <v>45</v>
      </c>
      <c r="B69" s="5" t="s">
        <v>23</v>
      </c>
      <c r="C69" s="50" t="s">
        <v>24</v>
      </c>
      <c r="D69" s="50" t="s">
        <v>25</v>
      </c>
      <c r="E69" s="50" t="s">
        <v>26</v>
      </c>
      <c r="F69" s="50" t="s">
        <v>27</v>
      </c>
      <c r="G69" s="50" t="s">
        <v>28</v>
      </c>
      <c r="H69" s="50" t="s">
        <v>29</v>
      </c>
      <c r="I69" s="50" t="s">
        <v>30</v>
      </c>
      <c r="J69" s="50" t="s">
        <v>31</v>
      </c>
      <c r="K69" s="50" t="s">
        <v>32</v>
      </c>
      <c r="L69" s="50" t="s">
        <v>109</v>
      </c>
      <c r="M69" s="50" t="s">
        <v>110</v>
      </c>
      <c r="N69" s="50" t="s">
        <v>111</v>
      </c>
      <c r="O69" s="50" t="s">
        <v>21</v>
      </c>
      <c r="Q69" s="63" t="s">
        <v>138</v>
      </c>
    </row>
    <row r="70" spans="1:17" x14ac:dyDescent="0.25">
      <c r="B70" s="1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1"/>
      <c r="Q70" s="69" t="s">
        <v>23</v>
      </c>
    </row>
    <row r="71" spans="1:17" x14ac:dyDescent="0.25">
      <c r="A71" s="1" t="s">
        <v>153</v>
      </c>
      <c r="B71" s="1">
        <v>2017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f>SUM(C71:N71)</f>
        <v>0</v>
      </c>
    </row>
    <row r="72" spans="1:17" x14ac:dyDescent="0.25">
      <c r="B72" s="1">
        <v>2018</v>
      </c>
      <c r="C72" s="48">
        <v>0</v>
      </c>
      <c r="D72" s="48">
        <v>0</v>
      </c>
      <c r="E72" s="48">
        <v>0</v>
      </c>
      <c r="F72" s="48">
        <f>2*1000</f>
        <v>2000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f>SUM(C72:N72)</f>
        <v>2000</v>
      </c>
      <c r="Q72" s="70">
        <f>SUM(C73:I73)</f>
        <v>0</v>
      </c>
    </row>
    <row r="73" spans="1:17" x14ac:dyDescent="0.25">
      <c r="B73" s="1">
        <v>2019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f>3*1000</f>
        <v>3000</v>
      </c>
      <c r="K73" s="48">
        <v>0</v>
      </c>
      <c r="L73" s="48">
        <v>0</v>
      </c>
      <c r="M73" s="48">
        <v>0</v>
      </c>
      <c r="N73" s="48">
        <v>0</v>
      </c>
      <c r="O73" s="48">
        <f>SUM(C73:N73)</f>
        <v>3000</v>
      </c>
      <c r="Q73" s="70"/>
    </row>
    <row r="74" spans="1:17" x14ac:dyDescent="0.25">
      <c r="B74" s="1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</row>
    <row r="75" spans="1:17" x14ac:dyDescent="0.25">
      <c r="B75" s="1">
        <v>2020</v>
      </c>
      <c r="C75" s="48">
        <f>0*1000</f>
        <v>0</v>
      </c>
      <c r="D75" s="48">
        <f t="shared" ref="D75:N75" si="22">0*1000</f>
        <v>0</v>
      </c>
      <c r="E75" s="48">
        <f t="shared" si="22"/>
        <v>0</v>
      </c>
      <c r="F75" s="48">
        <f t="shared" si="22"/>
        <v>0</v>
      </c>
      <c r="G75" s="48">
        <f>1*1000</f>
        <v>1000</v>
      </c>
      <c r="H75" s="48">
        <f t="shared" si="22"/>
        <v>0</v>
      </c>
      <c r="I75" s="48">
        <f t="shared" si="22"/>
        <v>0</v>
      </c>
      <c r="J75" s="48">
        <f t="shared" si="22"/>
        <v>0</v>
      </c>
      <c r="K75" s="48">
        <f t="shared" si="22"/>
        <v>0</v>
      </c>
      <c r="L75" s="48">
        <f t="shared" si="22"/>
        <v>0</v>
      </c>
      <c r="M75" s="48">
        <f t="shared" si="22"/>
        <v>0</v>
      </c>
      <c r="N75" s="48">
        <f t="shared" si="22"/>
        <v>0</v>
      </c>
      <c r="O75" s="48">
        <f>SUM(C75:N75)</f>
        <v>1000</v>
      </c>
    </row>
    <row r="76" spans="1:17" x14ac:dyDescent="0.25">
      <c r="B76" s="1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</row>
    <row r="77" spans="1:17" x14ac:dyDescent="0.25">
      <c r="B77" s="1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</row>
    <row r="78" spans="1:17" x14ac:dyDescent="0.25">
      <c r="B78" s="1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</row>
    <row r="79" spans="1:17" x14ac:dyDescent="0.25">
      <c r="B79" s="1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</sheetData>
  <pageMargins left="0.2" right="0.2" top="0.75" bottom="0.75" header="0.3" footer="0.3"/>
  <pageSetup paperSize="5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7"/>
  <sheetViews>
    <sheetView workbookViewId="0">
      <selection activeCell="A4" sqref="A4:XFD5"/>
    </sheetView>
  </sheetViews>
  <sheetFormatPr defaultRowHeight="15" x14ac:dyDescent="0.25"/>
  <cols>
    <col min="2" max="2" width="25.140625" customWidth="1"/>
    <col min="3" max="3" width="21.7109375" style="58" customWidth="1"/>
    <col min="4" max="4" width="17.28515625" style="55" customWidth="1"/>
    <col min="5" max="5" width="23.140625" style="55" customWidth="1"/>
    <col min="6" max="8" width="19.42578125" style="55" customWidth="1"/>
    <col min="9" max="9" width="17.42578125" style="55" customWidth="1"/>
    <col min="10" max="10" width="2.7109375" style="55" customWidth="1"/>
    <col min="11" max="11" width="12.7109375" style="55" customWidth="1"/>
    <col min="12" max="12" width="9.140625" style="26"/>
    <col min="13" max="14" width="9.140625" style="25"/>
  </cols>
  <sheetData>
    <row r="1" spans="1:11" x14ac:dyDescent="0.25">
      <c r="A1" s="9" t="s">
        <v>48</v>
      </c>
      <c r="B1" s="1"/>
      <c r="C1" s="15"/>
    </row>
    <row r="2" spans="1:11" x14ac:dyDescent="0.25">
      <c r="A2" s="9" t="s">
        <v>182</v>
      </c>
      <c r="B2" s="1"/>
      <c r="C2" s="15"/>
    </row>
    <row r="3" spans="1:11" x14ac:dyDescent="0.25">
      <c r="A3" s="9"/>
      <c r="B3" s="1"/>
      <c r="C3" s="15"/>
    </row>
    <row r="4" spans="1:11" x14ac:dyDescent="0.25">
      <c r="A4" s="2"/>
      <c r="B4" s="2"/>
      <c r="C4" s="3" t="s">
        <v>131</v>
      </c>
      <c r="D4" s="57" t="s">
        <v>132</v>
      </c>
      <c r="E4" s="3" t="s">
        <v>134</v>
      </c>
      <c r="F4" s="57" t="s">
        <v>84</v>
      </c>
      <c r="G4" s="57" t="s">
        <v>12</v>
      </c>
      <c r="H4" s="57" t="s">
        <v>156</v>
      </c>
      <c r="I4" s="57" t="s">
        <v>183</v>
      </c>
      <c r="K4" s="57" t="s">
        <v>21</v>
      </c>
    </row>
    <row r="5" spans="1:11" x14ac:dyDescent="0.25">
      <c r="A5" s="5" t="s">
        <v>15</v>
      </c>
      <c r="B5" s="5" t="s">
        <v>120</v>
      </c>
      <c r="C5" s="6" t="s">
        <v>22</v>
      </c>
      <c r="D5" s="56" t="s">
        <v>22</v>
      </c>
      <c r="E5" s="6" t="s">
        <v>133</v>
      </c>
      <c r="F5" s="56" t="s">
        <v>22</v>
      </c>
      <c r="G5" s="56" t="s">
        <v>22</v>
      </c>
      <c r="H5" s="56" t="s">
        <v>22</v>
      </c>
      <c r="I5" s="56" t="s">
        <v>22</v>
      </c>
      <c r="K5" s="56" t="s">
        <v>22</v>
      </c>
    </row>
    <row r="6" spans="1:11" x14ac:dyDescent="0.25">
      <c r="A6" s="25"/>
      <c r="B6" s="26"/>
      <c r="C6" s="55"/>
    </row>
    <row r="7" spans="1:11" x14ac:dyDescent="0.25">
      <c r="A7" s="1" t="s">
        <v>24</v>
      </c>
      <c r="B7" s="26" t="s">
        <v>122</v>
      </c>
      <c r="C7" s="55">
        <v>3615.21</v>
      </c>
      <c r="D7" s="55">
        <v>459.16</v>
      </c>
      <c r="E7" s="55">
        <v>39.79</v>
      </c>
      <c r="F7" s="55">
        <v>61.78</v>
      </c>
      <c r="G7" s="55">
        <v>30.89</v>
      </c>
      <c r="H7" s="55">
        <v>39.79</v>
      </c>
      <c r="I7" s="55">
        <v>0</v>
      </c>
      <c r="K7" s="55">
        <f t="shared" ref="K7:K18" si="0">SUM(C7:I7)</f>
        <v>4246.62</v>
      </c>
    </row>
    <row r="8" spans="1:11" x14ac:dyDescent="0.25">
      <c r="A8" s="1" t="s">
        <v>25</v>
      </c>
      <c r="B8" s="26" t="s">
        <v>122</v>
      </c>
      <c r="C8" s="55">
        <v>3615.21</v>
      </c>
      <c r="D8" s="55">
        <v>459.16</v>
      </c>
      <c r="E8" s="55">
        <v>39.79</v>
      </c>
      <c r="F8" s="55">
        <v>61.78</v>
      </c>
      <c r="G8" s="55">
        <v>30.89</v>
      </c>
      <c r="H8" s="55">
        <v>39.79</v>
      </c>
      <c r="I8" s="55">
        <v>0</v>
      </c>
      <c r="K8" s="55">
        <f t="shared" si="0"/>
        <v>4246.62</v>
      </c>
    </row>
    <row r="9" spans="1:11" x14ac:dyDescent="0.25">
      <c r="A9" s="1" t="s">
        <v>26</v>
      </c>
      <c r="B9" s="26" t="s">
        <v>122</v>
      </c>
      <c r="C9" s="55">
        <v>3522.3</v>
      </c>
      <c r="D9" s="55">
        <v>459.16</v>
      </c>
      <c r="E9" s="55">
        <v>39.79</v>
      </c>
      <c r="F9" s="55">
        <v>61.78</v>
      </c>
      <c r="G9" s="55">
        <v>30.89</v>
      </c>
      <c r="H9" s="55">
        <v>39.79</v>
      </c>
      <c r="I9" s="55">
        <v>0</v>
      </c>
      <c r="K9" s="55">
        <f t="shared" si="0"/>
        <v>4153.71</v>
      </c>
    </row>
    <row r="10" spans="1:11" x14ac:dyDescent="0.25">
      <c r="A10" s="1" t="s">
        <v>41</v>
      </c>
      <c r="B10" s="26" t="s">
        <v>122</v>
      </c>
      <c r="C10" s="55">
        <v>3522.3</v>
      </c>
      <c r="D10" s="55">
        <v>459.16</v>
      </c>
      <c r="E10" s="55">
        <v>39.79</v>
      </c>
      <c r="F10" s="55">
        <v>61.78</v>
      </c>
      <c r="G10" s="55">
        <v>30.89</v>
      </c>
      <c r="H10" s="55">
        <v>39.79</v>
      </c>
      <c r="I10" s="55">
        <v>0</v>
      </c>
      <c r="K10" s="55">
        <f t="shared" si="0"/>
        <v>4153.71</v>
      </c>
    </row>
    <row r="11" spans="1:11" x14ac:dyDescent="0.25">
      <c r="A11" s="1" t="s">
        <v>28</v>
      </c>
      <c r="B11" s="26" t="s">
        <v>122</v>
      </c>
      <c r="C11" s="55">
        <v>3615.21</v>
      </c>
      <c r="D11" s="55">
        <v>459.16</v>
      </c>
      <c r="E11" s="55">
        <v>39.79</v>
      </c>
      <c r="F11" s="55">
        <v>61.78</v>
      </c>
      <c r="G11" s="55">
        <v>30.89</v>
      </c>
      <c r="H11" s="55">
        <v>39.79</v>
      </c>
      <c r="I11" s="55">
        <v>79.58</v>
      </c>
      <c r="K11" s="55">
        <f t="shared" si="0"/>
        <v>4326.2</v>
      </c>
    </row>
    <row r="12" spans="1:11" x14ac:dyDescent="0.25">
      <c r="A12" s="1" t="s">
        <v>29</v>
      </c>
      <c r="B12" s="26" t="s">
        <v>122</v>
      </c>
      <c r="C12" s="55">
        <v>3615.21</v>
      </c>
      <c r="D12" s="55">
        <v>459.16</v>
      </c>
      <c r="E12" s="55">
        <v>39.79</v>
      </c>
      <c r="F12" s="55">
        <v>61.78</v>
      </c>
      <c r="G12" s="55">
        <v>30.89</v>
      </c>
      <c r="H12" s="55">
        <v>39.79</v>
      </c>
      <c r="I12" s="55">
        <v>79.58</v>
      </c>
      <c r="K12" s="55">
        <f t="shared" si="0"/>
        <v>4326.2</v>
      </c>
    </row>
    <row r="13" spans="1:11" x14ac:dyDescent="0.25">
      <c r="A13" s="1" t="s">
        <v>30</v>
      </c>
      <c r="B13" s="26" t="s">
        <v>122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K13" s="55">
        <f t="shared" si="0"/>
        <v>0</v>
      </c>
    </row>
    <row r="14" spans="1:11" x14ac:dyDescent="0.25">
      <c r="A14" s="1" t="s">
        <v>31</v>
      </c>
      <c r="B14" s="26" t="s">
        <v>122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K14" s="55">
        <f t="shared" si="0"/>
        <v>0</v>
      </c>
    </row>
    <row r="15" spans="1:11" x14ac:dyDescent="0.25">
      <c r="A15" s="1" t="s">
        <v>42</v>
      </c>
      <c r="B15" s="26" t="s">
        <v>122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K15" s="55">
        <f t="shared" si="0"/>
        <v>0</v>
      </c>
    </row>
    <row r="16" spans="1:11" x14ac:dyDescent="0.25">
      <c r="A16" s="1" t="s">
        <v>33</v>
      </c>
      <c r="B16" s="26" t="s">
        <v>122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K16" s="55">
        <f t="shared" si="0"/>
        <v>0</v>
      </c>
    </row>
    <row r="17" spans="1:11" x14ac:dyDescent="0.25">
      <c r="A17" s="1" t="s">
        <v>34</v>
      </c>
      <c r="B17" s="26" t="s">
        <v>122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K17" s="55">
        <f t="shared" si="0"/>
        <v>0</v>
      </c>
    </row>
    <row r="18" spans="1:11" x14ac:dyDescent="0.25">
      <c r="A18" s="1" t="s">
        <v>35</v>
      </c>
      <c r="B18" s="26" t="s">
        <v>122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K18" s="55">
        <f t="shared" si="0"/>
        <v>0</v>
      </c>
    </row>
    <row r="19" spans="1:11" x14ac:dyDescent="0.25">
      <c r="A19" s="25"/>
      <c r="B19" s="26"/>
      <c r="C19" s="55"/>
    </row>
    <row r="20" spans="1:11" x14ac:dyDescent="0.25">
      <c r="A20" s="25"/>
      <c r="B20" s="37" t="s">
        <v>21</v>
      </c>
      <c r="C20" s="57">
        <f t="shared" ref="C20:I20" si="1">SUM(C7:C18)</f>
        <v>21505.439999999999</v>
      </c>
      <c r="D20" s="57">
        <f t="shared" si="1"/>
        <v>2754.96</v>
      </c>
      <c r="E20" s="57">
        <f t="shared" si="1"/>
        <v>238.73999999999998</v>
      </c>
      <c r="F20" s="57">
        <f t="shared" si="1"/>
        <v>370.67999999999995</v>
      </c>
      <c r="G20" s="57">
        <f t="shared" si="1"/>
        <v>185.33999999999997</v>
      </c>
      <c r="H20" s="57">
        <f t="shared" si="1"/>
        <v>238.73999999999998</v>
      </c>
      <c r="I20" s="57">
        <f t="shared" si="1"/>
        <v>159.16</v>
      </c>
      <c r="K20" s="57">
        <f>SUM(C20:H20)</f>
        <v>25293.9</v>
      </c>
    </row>
    <row r="22" spans="1:11" x14ac:dyDescent="0.25">
      <c r="A22" s="5" t="s">
        <v>15</v>
      </c>
      <c r="B22" s="5" t="s">
        <v>120</v>
      </c>
      <c r="C22" s="6" t="s">
        <v>22</v>
      </c>
    </row>
    <row r="23" spans="1:11" x14ac:dyDescent="0.25">
      <c r="A23" s="25"/>
      <c r="B23" s="26"/>
      <c r="C23" s="55"/>
    </row>
    <row r="24" spans="1:11" x14ac:dyDescent="0.25">
      <c r="A24" s="1" t="s">
        <v>24</v>
      </c>
      <c r="B24" s="26" t="s">
        <v>123</v>
      </c>
      <c r="C24" s="55">
        <v>2628.22</v>
      </c>
    </row>
    <row r="25" spans="1:11" x14ac:dyDescent="0.25">
      <c r="A25" s="1" t="s">
        <v>25</v>
      </c>
      <c r="B25" s="26" t="s">
        <v>123</v>
      </c>
      <c r="C25" s="55">
        <f>2628.22+976.06</f>
        <v>3604.2799999999997</v>
      </c>
    </row>
    <row r="26" spans="1:11" x14ac:dyDescent="0.25">
      <c r="A26" s="1" t="s">
        <v>26</v>
      </c>
      <c r="B26" s="26" t="s">
        <v>123</v>
      </c>
      <c r="C26" s="55">
        <v>2628.22</v>
      </c>
    </row>
    <row r="27" spans="1:11" x14ac:dyDescent="0.25">
      <c r="A27" s="1" t="s">
        <v>41</v>
      </c>
      <c r="B27" s="26" t="s">
        <v>123</v>
      </c>
      <c r="C27" s="55">
        <v>1929.16</v>
      </c>
    </row>
    <row r="28" spans="1:11" x14ac:dyDescent="0.25">
      <c r="A28" s="1" t="s">
        <v>28</v>
      </c>
      <c r="B28" s="26" t="s">
        <v>123</v>
      </c>
      <c r="C28" s="55">
        <v>1889.39</v>
      </c>
    </row>
    <row r="29" spans="1:11" x14ac:dyDescent="0.25">
      <c r="A29" s="1" t="s">
        <v>29</v>
      </c>
      <c r="B29" s="26" t="s">
        <v>123</v>
      </c>
      <c r="C29" s="55">
        <v>1770.22</v>
      </c>
    </row>
    <row r="30" spans="1:11" x14ac:dyDescent="0.25">
      <c r="A30" s="1" t="s">
        <v>30</v>
      </c>
      <c r="B30" s="26" t="s">
        <v>123</v>
      </c>
      <c r="C30" s="55">
        <v>2116.91</v>
      </c>
    </row>
    <row r="31" spans="1:11" x14ac:dyDescent="0.25">
      <c r="A31" s="1" t="s">
        <v>31</v>
      </c>
      <c r="B31" s="26" t="s">
        <v>123</v>
      </c>
      <c r="C31" s="55">
        <v>0</v>
      </c>
    </row>
    <row r="32" spans="1:11" x14ac:dyDescent="0.25">
      <c r="A32" s="1" t="s">
        <v>42</v>
      </c>
      <c r="B32" s="26" t="s">
        <v>123</v>
      </c>
      <c r="C32" s="55">
        <v>0</v>
      </c>
    </row>
    <row r="33" spans="1:3" x14ac:dyDescent="0.25">
      <c r="A33" s="1" t="s">
        <v>33</v>
      </c>
      <c r="B33" s="26" t="s">
        <v>123</v>
      </c>
      <c r="C33" s="55">
        <v>0</v>
      </c>
    </row>
    <row r="34" spans="1:3" x14ac:dyDescent="0.25">
      <c r="A34" s="1" t="s">
        <v>34</v>
      </c>
      <c r="B34" s="26" t="s">
        <v>123</v>
      </c>
      <c r="C34" s="55">
        <v>0</v>
      </c>
    </row>
    <row r="35" spans="1:3" x14ac:dyDescent="0.25">
      <c r="A35" s="1" t="s">
        <v>35</v>
      </c>
      <c r="B35" s="26" t="s">
        <v>123</v>
      </c>
      <c r="C35" s="55">
        <v>0</v>
      </c>
    </row>
    <row r="36" spans="1:3" x14ac:dyDescent="0.25">
      <c r="A36" s="25"/>
      <c r="B36" s="26"/>
      <c r="C36" s="55"/>
    </row>
    <row r="37" spans="1:3" x14ac:dyDescent="0.25">
      <c r="A37" s="25"/>
      <c r="B37" s="37" t="s">
        <v>21</v>
      </c>
      <c r="C37" s="57">
        <f>SUM(C24:C35)</f>
        <v>16566.399999999998</v>
      </c>
    </row>
  </sheetData>
  <pageMargins left="0.2" right="0.2" top="0.25" bottom="0.2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Overall Expense Summary</vt:lpstr>
      <vt:lpstr>Account Summary</vt:lpstr>
      <vt:lpstr>Electric Expense</vt:lpstr>
      <vt:lpstr>Electric Usage</vt:lpstr>
      <vt:lpstr>Natural Gas Expense</vt:lpstr>
      <vt:lpstr>Natural Gas Usage</vt:lpstr>
      <vt:lpstr>Water Expense</vt:lpstr>
      <vt:lpstr>Water Usage</vt:lpstr>
      <vt:lpstr>Sewer Trash Expense</vt:lpstr>
      <vt:lpstr>Sheet1</vt:lpstr>
      <vt:lpstr>'Account Summary'!Print_Area</vt:lpstr>
      <vt:lpstr>'Overall Expense Summary'!Print_Area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Krum</dc:creator>
  <cp:lastModifiedBy>Robert P. Hartigan, C.M., ACE</cp:lastModifiedBy>
  <cp:lastPrinted>2020-05-12T20:02:35Z</cp:lastPrinted>
  <dcterms:created xsi:type="dcterms:W3CDTF">2014-06-03T19:35:09Z</dcterms:created>
  <dcterms:modified xsi:type="dcterms:W3CDTF">2020-09-15T15:51:25Z</dcterms:modified>
</cp:coreProperties>
</file>